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orisnik\Desktop\Kurs Marketinga\9 - SEO\MARKO\prodanovic\01072020 - KRAJ\tr\"/>
    </mc:Choice>
  </mc:AlternateContent>
  <xr:revisionPtr revIDLastSave="0" documentId="8_{86AC03BF-B07E-4676-BE03-83BD8D92AE9D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TR85" sheetId="1" r:id="rId1"/>
  </sheets>
  <definedNames>
    <definedName name="_xlnm.Print_Area" localSheetId="0">'TR85'!$A$1:$AL$261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43" i="1" l="1"/>
  <c r="G142" i="1"/>
  <c r="C120" i="1"/>
  <c r="C121" i="1"/>
  <c r="D121" i="1"/>
  <c r="C122" i="1"/>
  <c r="D122" i="1"/>
  <c r="C123" i="1"/>
  <c r="D123" i="1"/>
  <c r="C124" i="1"/>
  <c r="D124" i="1"/>
  <c r="D131" i="1"/>
  <c r="J35" i="1" l="1"/>
  <c r="M44" i="1"/>
  <c r="J31" i="1" l="1"/>
  <c r="Q245" i="1"/>
  <c r="AE163" i="1"/>
  <c r="AE159" i="1"/>
  <c r="AE158" i="1"/>
  <c r="U191" i="1"/>
  <c r="U192" i="1" s="1"/>
  <c r="Y179" i="1"/>
  <c r="L11" i="1" l="1"/>
  <c r="L12" i="1"/>
  <c r="AE161" i="1"/>
  <c r="AE162" i="1" s="1"/>
  <c r="AE164" i="1" s="1"/>
  <c r="U195" i="1"/>
  <c r="Y178" i="1"/>
  <c r="N59" i="1"/>
  <c r="N56" i="1"/>
  <c r="T189" i="1" s="1"/>
  <c r="Q211" i="1"/>
  <c r="Q210" i="1"/>
  <c r="Q209" i="1"/>
  <c r="Q168" i="1"/>
  <c r="K154" i="1"/>
  <c r="Q146" i="1"/>
  <c r="N146" i="1"/>
  <c r="Q142" i="1"/>
  <c r="Q85" i="1"/>
  <c r="Q144" i="1" s="1"/>
  <c r="L83" i="1"/>
  <c r="L168" i="1" s="1"/>
  <c r="M168" i="1" s="1"/>
  <c r="Q79" i="1"/>
  <c r="Q65" i="1"/>
  <c r="L85" i="1" s="1"/>
  <c r="N65" i="1"/>
  <c r="M106" i="1" l="1"/>
  <c r="M130" i="1"/>
  <c r="N57" i="1"/>
  <c r="P217" i="1"/>
  <c r="N219" i="1" s="1"/>
  <c r="L242" i="1"/>
  <c r="L243" i="1" s="1"/>
  <c r="M246" i="1" s="1"/>
  <c r="Q170" i="1"/>
  <c r="Y161" i="1"/>
  <c r="M102" i="1"/>
  <c r="M111" i="1" s="1"/>
  <c r="P111" i="1" s="1"/>
  <c r="P157" i="1"/>
  <c r="L157" i="1" s="1"/>
  <c r="L158" i="1" s="1"/>
  <c r="M199" i="1"/>
  <c r="M200" i="1" s="1"/>
  <c r="N200" i="1" s="1"/>
  <c r="K65" i="1"/>
  <c r="O73" i="1"/>
  <c r="K63" i="1"/>
  <c r="K64" i="1" s="1"/>
  <c r="Q62" i="1"/>
  <c r="L144" i="1"/>
  <c r="M85" i="1"/>
  <c r="L170" i="1"/>
  <c r="M170" i="1" s="1"/>
  <c r="R168" i="1"/>
  <c r="Q66" i="1"/>
  <c r="M83" i="1"/>
  <c r="L142" i="1"/>
  <c r="M142" i="1" s="1"/>
  <c r="J4" i="1"/>
  <c r="O6" i="1"/>
  <c r="D142" i="1" l="1"/>
  <c r="D143" i="1"/>
  <c r="AE166" i="1"/>
  <c r="AA189" i="1"/>
  <c r="U196" i="1"/>
  <c r="AA190" i="1"/>
  <c r="K62" i="1"/>
  <c r="N62" i="1" s="1"/>
  <c r="N64" i="1" s="1"/>
  <c r="M107" i="1" s="1"/>
  <c r="Z193" i="1"/>
  <c r="AB193" i="1" s="1"/>
  <c r="M73" i="1"/>
  <c r="M115" i="1"/>
  <c r="N115" i="1" s="1"/>
  <c r="N211" i="1"/>
  <c r="N246" i="1"/>
  <c r="Q248" i="1"/>
  <c r="L247" i="1" s="1"/>
  <c r="U181" i="1"/>
  <c r="T186" i="1" s="1"/>
  <c r="X186" i="1" s="1"/>
  <c r="U194" i="1"/>
  <c r="P70" i="1"/>
  <c r="Q64" i="1"/>
  <c r="N210" i="1"/>
  <c r="W153" i="1"/>
  <c r="L159" i="1"/>
  <c r="L160" i="1" s="1"/>
  <c r="Q86" i="1"/>
  <c r="Q145" i="1" s="1"/>
  <c r="N111" i="1"/>
  <c r="M112" i="1"/>
  <c r="P200" i="1"/>
  <c r="M201" i="1" s="1"/>
  <c r="M202" i="1" s="1"/>
  <c r="L207" i="1" s="1"/>
  <c r="M207" i="1" s="1"/>
  <c r="P149" i="1"/>
  <c r="K66" i="1"/>
  <c r="L216" i="1" s="1"/>
  <c r="N86" i="1"/>
  <c r="N145" i="1" s="1"/>
  <c r="Q63" i="1"/>
  <c r="O160" i="1" s="1"/>
  <c r="N85" i="1"/>
  <c r="N144" i="1" s="1"/>
  <c r="N223" i="1"/>
  <c r="N220" i="1"/>
  <c r="N83" i="1"/>
  <c r="N168" i="1" s="1"/>
  <c r="O168" i="1" s="1"/>
  <c r="M70" i="1"/>
  <c r="N66" i="1"/>
  <c r="W156" i="1" s="1"/>
  <c r="Y163" i="1" s="1"/>
  <c r="L86" i="1"/>
  <c r="L210" i="1" s="1"/>
  <c r="M210" i="1" s="1"/>
  <c r="R85" i="1"/>
  <c r="R83" i="1"/>
  <c r="M69" i="1"/>
  <c r="R170" i="1"/>
  <c r="L209" i="1"/>
  <c r="M209" i="1" s="1"/>
  <c r="M144" i="1"/>
  <c r="R142" i="1"/>
  <c r="AC170" i="1" l="1"/>
  <c r="AA193" i="1"/>
  <c r="U193" i="1" s="1"/>
  <c r="P115" i="1"/>
  <c r="M116" i="1" s="1"/>
  <c r="P116" i="1" s="1"/>
  <c r="M113" i="1"/>
  <c r="P112" i="1"/>
  <c r="T183" i="1"/>
  <c r="X183" i="1" s="1"/>
  <c r="N63" i="1"/>
  <c r="N79" i="1" s="1"/>
  <c r="N142" i="1"/>
  <c r="O142" i="1" s="1"/>
  <c r="P142" i="1" s="1"/>
  <c r="O83" i="1"/>
  <c r="P83" i="1" s="1"/>
  <c r="Q208" i="1"/>
  <c r="L145" i="1"/>
  <c r="M145" i="1" s="1"/>
  <c r="O145" i="1" s="1"/>
  <c r="P145" i="1" s="1"/>
  <c r="Q84" i="1"/>
  <c r="Q143" i="1" s="1"/>
  <c r="N209" i="1"/>
  <c r="O209" i="1" s="1"/>
  <c r="P209" i="1" s="1"/>
  <c r="M86" i="1"/>
  <c r="R86" i="1" s="1"/>
  <c r="N208" i="1"/>
  <c r="M203" i="1"/>
  <c r="N84" i="1"/>
  <c r="N143" i="1" s="1"/>
  <c r="N170" i="1"/>
  <c r="O170" i="1" s="1"/>
  <c r="P170" i="1" s="1"/>
  <c r="O85" i="1"/>
  <c r="P85" i="1" s="1"/>
  <c r="L84" i="1"/>
  <c r="M84" i="1" s="1"/>
  <c r="O144" i="1"/>
  <c r="P144" i="1" s="1"/>
  <c r="R144" i="1"/>
  <c r="Y162" i="1"/>
  <c r="P168" i="1"/>
  <c r="R210" i="1"/>
  <c r="O210" i="1"/>
  <c r="R207" i="1"/>
  <c r="O207" i="1"/>
  <c r="R209" i="1"/>
  <c r="AF170" i="1" l="1"/>
  <c r="AF172" i="1"/>
  <c r="M131" i="1"/>
  <c r="L146" i="1" s="1"/>
  <c r="M117" i="1"/>
  <c r="P210" i="1"/>
  <c r="M103" i="1"/>
  <c r="P103" i="1" s="1"/>
  <c r="M104" i="1" s="1"/>
  <c r="O74" i="1"/>
  <c r="L87" i="1"/>
  <c r="M87" i="1" s="1"/>
  <c r="M88" i="1" s="1"/>
  <c r="P77" i="1"/>
  <c r="M77" i="1"/>
  <c r="M71" i="1"/>
  <c r="O86" i="1"/>
  <c r="P86" i="1" s="1"/>
  <c r="L169" i="1"/>
  <c r="M169" i="1" s="1"/>
  <c r="R145" i="1"/>
  <c r="L143" i="1"/>
  <c r="L208" i="1" s="1"/>
  <c r="M208" i="1" s="1"/>
  <c r="Q169" i="1"/>
  <c r="N169" i="1"/>
  <c r="T165" i="1"/>
  <c r="W166" i="1" s="1"/>
  <c r="T170" i="1" s="1"/>
  <c r="W172" i="1" s="1"/>
  <c r="P207" i="1"/>
  <c r="R84" i="1"/>
  <c r="O84" i="1"/>
  <c r="M91" i="1" l="1"/>
  <c r="L194" i="1" s="1"/>
  <c r="Q21" i="1"/>
  <c r="N103" i="1"/>
  <c r="P78" i="1"/>
  <c r="L211" i="1"/>
  <c r="M211" i="1" s="1"/>
  <c r="R211" i="1" s="1"/>
  <c r="R169" i="1"/>
  <c r="M143" i="1"/>
  <c r="R143" i="1" s="1"/>
  <c r="O169" i="1"/>
  <c r="P169" i="1" s="1"/>
  <c r="M108" i="1"/>
  <c r="M109" i="1"/>
  <c r="O87" i="1"/>
  <c r="P87" i="1" s="1"/>
  <c r="R87" i="1"/>
  <c r="R88" i="1" s="1"/>
  <c r="P84" i="1"/>
  <c r="O208" i="1"/>
  <c r="R208" i="1"/>
  <c r="R25" i="1" l="1"/>
  <c r="R24" i="1"/>
  <c r="R23" i="1"/>
  <c r="R27" i="1"/>
  <c r="R22" i="1"/>
  <c r="R26" i="1"/>
  <c r="R21" i="1"/>
  <c r="M212" i="1"/>
  <c r="N229" i="1" s="1"/>
  <c r="O211" i="1"/>
  <c r="P211" i="1" s="1"/>
  <c r="O143" i="1"/>
  <c r="P143" i="1" s="1"/>
  <c r="O88" i="1"/>
  <c r="M90" i="1" s="1"/>
  <c r="K257" i="1" s="1"/>
  <c r="P208" i="1"/>
  <c r="R212" i="1"/>
  <c r="P88" i="1"/>
  <c r="O2" i="1" l="1"/>
  <c r="P212" i="1"/>
  <c r="L193" i="1"/>
  <c r="O212" i="1"/>
  <c r="L213" i="1" s="1"/>
  <c r="N228" i="1" s="1"/>
  <c r="M92" i="1"/>
  <c r="M122" i="1"/>
  <c r="O3" i="1" l="1"/>
  <c r="V121" i="1"/>
  <c r="M123" i="1" s="1"/>
  <c r="M124" i="1" s="1"/>
  <c r="N124" i="1" s="1"/>
  <c r="N230" i="1"/>
  <c r="P230" i="1" s="1"/>
  <c r="O257" i="1"/>
  <c r="M93" i="1"/>
  <c r="P93" i="1" s="1"/>
  <c r="L257" i="1" s="1"/>
  <c r="P92" i="1"/>
  <c r="N222" i="1"/>
  <c r="N221" i="1"/>
  <c r="N225" i="1"/>
  <c r="J217" i="1"/>
  <c r="Y224" i="1" l="1"/>
  <c r="F148" i="1"/>
  <c r="F151" i="1"/>
  <c r="G147" i="1"/>
  <c r="G148" i="1"/>
  <c r="G151" i="1"/>
  <c r="F147" i="1"/>
  <c r="G150" i="1"/>
  <c r="G152" i="1" s="1"/>
  <c r="C24" i="1" s="1"/>
  <c r="G149" i="1"/>
  <c r="F150" i="1"/>
  <c r="F152" i="1" s="1"/>
  <c r="C25" i="1" s="1"/>
  <c r="F149" i="1"/>
  <c r="O4" i="1"/>
  <c r="O5" i="1"/>
  <c r="Q3" i="1"/>
  <c r="J257" i="1"/>
  <c r="K35" i="1"/>
  <c r="N231" i="1"/>
  <c r="N234" i="1" s="1"/>
  <c r="P234" i="1" s="1"/>
  <c r="P257" i="1" s="1"/>
  <c r="N257" i="1"/>
  <c r="N224" i="1"/>
  <c r="J226" i="1" s="1"/>
  <c r="P124" i="1"/>
  <c r="E131" i="1" l="1"/>
  <c r="F131" i="1" s="1"/>
  <c r="E133" i="1"/>
  <c r="F133" i="1" s="1"/>
  <c r="E135" i="1"/>
  <c r="F135" i="1" s="1"/>
  <c r="E132" i="1"/>
  <c r="F132" i="1" s="1"/>
  <c r="E134" i="1"/>
  <c r="F134" i="1" s="1"/>
  <c r="L35" i="1"/>
  <c r="M35" i="1"/>
  <c r="L27" i="1"/>
  <c r="U213" i="1" s="1"/>
  <c r="N26" i="1"/>
  <c r="L25" i="1"/>
  <c r="U211" i="1" s="1"/>
  <c r="N28" i="1"/>
  <c r="N27" i="1"/>
  <c r="K26" i="1"/>
  <c r="L28" i="1"/>
  <c r="U214" i="1" s="1"/>
  <c r="M29" i="1"/>
  <c r="K25" i="1"/>
  <c r="M27" i="1"/>
  <c r="K27" i="1"/>
  <c r="M25" i="1"/>
  <c r="L29" i="1"/>
  <c r="U215" i="1" s="1"/>
  <c r="L26" i="1"/>
  <c r="U212" i="1" s="1"/>
  <c r="M26" i="1"/>
  <c r="K28" i="1"/>
  <c r="T214" i="1" s="1"/>
  <c r="K29" i="1"/>
  <c r="T215" i="1" s="1"/>
  <c r="N29" i="1"/>
  <c r="M28" i="1"/>
  <c r="W129" i="1"/>
  <c r="W132" i="1"/>
  <c r="W130" i="1"/>
  <c r="W133" i="1"/>
  <c r="M125" i="1"/>
  <c r="W128" i="1" s="1"/>
  <c r="M238" i="1"/>
  <c r="M39" i="1" s="1"/>
  <c r="P35" i="1"/>
  <c r="O35" i="1"/>
  <c r="N35" i="1"/>
  <c r="P225" i="1"/>
  <c r="AD177" i="1" l="1"/>
  <c r="T213" i="1"/>
  <c r="T211" i="1"/>
  <c r="F136" i="1"/>
  <c r="F137" i="1" s="1"/>
  <c r="C19" i="1" s="1"/>
  <c r="T212" i="1"/>
  <c r="L20" i="1"/>
  <c r="M20" i="1"/>
  <c r="K20" i="1"/>
  <c r="N20" i="1"/>
  <c r="Q39" i="1"/>
  <c r="Q44" i="1"/>
  <c r="Q43" i="1"/>
  <c r="Q45" i="1"/>
  <c r="Q41" i="1"/>
  <c r="Q42" i="1"/>
  <c r="M43" i="1"/>
  <c r="Q40" i="1"/>
  <c r="W131" i="1"/>
  <c r="K127" i="1" s="1"/>
  <c r="K126" i="1"/>
  <c r="M146" i="1"/>
  <c r="O146" i="1" s="1"/>
  <c r="P146" i="1" s="1"/>
  <c r="P147" i="1" s="1"/>
  <c r="M40" i="1"/>
  <c r="M41" i="1"/>
  <c r="M42" i="1"/>
  <c r="M45" i="1"/>
  <c r="AH180" i="1" l="1"/>
  <c r="AH177" i="1"/>
  <c r="AH179" i="1"/>
  <c r="AH178" i="1"/>
  <c r="AH176" i="1"/>
  <c r="M46" i="1"/>
  <c r="Q46" i="1"/>
  <c r="O147" i="1"/>
  <c r="R146" i="1"/>
  <c r="R147" i="1" s="1"/>
  <c r="L174" i="1"/>
  <c r="M174" i="1" s="1"/>
  <c r="O174" i="1" s="1"/>
  <c r="P174" i="1" s="1"/>
  <c r="M147" i="1"/>
  <c r="AH181" i="1" l="1"/>
  <c r="C21" i="1" s="1"/>
  <c r="R174" i="1"/>
  <c r="M149" i="1"/>
  <c r="M150" i="1" s="1"/>
  <c r="Q171" i="1" s="1"/>
  <c r="L171" i="1" s="1"/>
  <c r="M171" i="1" s="1"/>
  <c r="R171" i="1" s="1"/>
  <c r="O161" i="1" l="1"/>
  <c r="J162" i="1" s="1"/>
  <c r="N171" i="1"/>
  <c r="O171" i="1" s="1"/>
  <c r="P171" i="1" s="1"/>
  <c r="M151" i="1"/>
  <c r="L163" i="1" l="1"/>
  <c r="K164" i="1"/>
  <c r="L164" i="1"/>
  <c r="P164" i="1" s="1"/>
  <c r="Q172" i="1" s="1"/>
  <c r="N172" i="1" s="1"/>
  <c r="N161" i="1"/>
  <c r="K163" i="1"/>
  <c r="L172" i="1" l="1"/>
  <c r="M172" i="1" s="1"/>
  <c r="O172" i="1" s="1"/>
  <c r="P172" i="1" s="1"/>
  <c r="P163" i="1"/>
  <c r="Q173" i="1" s="1"/>
  <c r="N173" i="1" s="1"/>
  <c r="L173" i="1"/>
  <c r="M173" i="1" s="1"/>
  <c r="M175" i="1" s="1"/>
  <c r="N177" i="1" s="1"/>
  <c r="R172" i="1"/>
  <c r="O173" i="1" l="1"/>
  <c r="R173" i="1"/>
  <c r="R175" i="1" s="1"/>
  <c r="P173" i="1" l="1"/>
  <c r="P175" i="1" s="1"/>
  <c r="O175" i="1"/>
  <c r="N176" i="1" s="1"/>
  <c r="N178" i="1" l="1"/>
  <c r="P178" i="1" l="1"/>
  <c r="N179" i="1"/>
  <c r="N181" i="1" s="1"/>
  <c r="L9" i="1"/>
  <c r="L8" i="1"/>
  <c r="P181" i="1" l="1"/>
  <c r="M185" i="1"/>
  <c r="O15" i="1"/>
  <c r="P44" i="1" l="1"/>
  <c r="L39" i="1"/>
  <c r="L44" i="1"/>
  <c r="P39" i="1"/>
  <c r="L41" i="1"/>
  <c r="L43" i="1"/>
  <c r="L42" i="1"/>
  <c r="L45" i="1"/>
  <c r="P42" i="1"/>
  <c r="L40" i="1"/>
  <c r="P40" i="1"/>
  <c r="P41" i="1"/>
  <c r="P43" i="1"/>
  <c r="P45" i="1"/>
  <c r="P46" i="1" l="1"/>
  <c r="K9" i="1" s="1"/>
  <c r="L46" i="1"/>
  <c r="K8" i="1" s="1"/>
  <c r="O12" i="1" l="1"/>
  <c r="M11" i="1" s="1"/>
  <c r="E120" i="1" l="1"/>
  <c r="M12" i="1"/>
  <c r="E121" i="1" l="1"/>
  <c r="G121" i="1" s="1"/>
  <c r="G120" i="1"/>
  <c r="I120" i="1" s="1"/>
  <c r="E122" i="1"/>
  <c r="G122" i="1" s="1"/>
  <c r="E123" i="1"/>
  <c r="G123" i="1" s="1"/>
  <c r="E124" i="1"/>
  <c r="G124" i="1" s="1"/>
  <c r="F121" i="1"/>
  <c r="H121" i="1" s="1"/>
  <c r="F122" i="1"/>
  <c r="H122" i="1" s="1"/>
  <c r="F123" i="1"/>
  <c r="H123" i="1" s="1"/>
  <c r="F124" i="1"/>
  <c r="H124" i="1" s="1"/>
  <c r="I121" i="1" l="1"/>
  <c r="I124" i="1"/>
  <c r="I122" i="1"/>
  <c r="I123" i="1"/>
  <c r="I125" i="1" l="1"/>
  <c r="C17" i="1" s="1"/>
  <c r="T224" i="1" s="1"/>
  <c r="U225" i="1" l="1"/>
  <c r="W232" i="1" l="1"/>
  <c r="V233" i="1"/>
  <c r="V229" i="1"/>
  <c r="W233" i="1"/>
  <c r="W229" i="1"/>
  <c r="V230" i="1"/>
  <c r="W230" i="1"/>
  <c r="V231" i="1"/>
  <c r="W231" i="1"/>
  <c r="V232" i="1"/>
  <c r="V234" i="1" l="1"/>
  <c r="V235" i="1" s="1"/>
  <c r="W234" i="1"/>
  <c r="W235" i="1" s="1"/>
  <c r="U252" i="1" s="1"/>
  <c r="Z252" i="1" l="1"/>
  <c r="Z245" i="1"/>
  <c r="U254" i="1"/>
  <c r="Z254" i="1" s="1"/>
  <c r="Z239" i="1"/>
  <c r="Z242" i="1"/>
  <c r="AA196" i="1" l="1"/>
  <c r="W202" i="1" s="1"/>
  <c r="X202" i="1" s="1"/>
  <c r="Z196" i="1"/>
  <c r="AA203" i="1" l="1"/>
  <c r="AC203" i="1" s="1"/>
  <c r="AA204" i="1"/>
  <c r="AC204" i="1" s="1"/>
  <c r="AA200" i="1"/>
  <c r="AC200" i="1" s="1"/>
  <c r="AA199" i="1"/>
  <c r="AC199" i="1" s="1"/>
  <c r="W198" i="1"/>
  <c r="X198" i="1" s="1"/>
  <c r="AA205" i="1" l="1"/>
  <c r="V211" i="1" s="1"/>
  <c r="Y211" i="1" s="1"/>
  <c r="AA201" i="1"/>
  <c r="W213" i="1" s="1"/>
  <c r="Z213" i="1" s="1"/>
  <c r="V215" i="1" l="1"/>
  <c r="Y215" i="1" s="1"/>
  <c r="V213" i="1"/>
  <c r="Y213" i="1" s="1"/>
  <c r="V212" i="1"/>
  <c r="Y212" i="1" s="1"/>
  <c r="V214" i="1"/>
  <c r="Y214" i="1" s="1"/>
  <c r="Y216" i="1" s="1"/>
  <c r="W214" i="1"/>
  <c r="Z214" i="1" s="1"/>
  <c r="Z216" i="1" s="1"/>
  <c r="W212" i="1"/>
  <c r="Z212" i="1" s="1"/>
  <c r="W215" i="1"/>
  <c r="Z215" i="1" s="1"/>
  <c r="W211" i="1"/>
  <c r="Z211" i="1" s="1"/>
  <c r="Z217" i="1" l="1"/>
</calcChain>
</file>

<file path=xl/sharedStrings.xml><?xml version="1.0" encoding="utf-8"?>
<sst xmlns="http://schemas.openxmlformats.org/spreadsheetml/2006/main" count="716" uniqueCount="436">
  <si>
    <t>бр. поља</t>
  </si>
  <si>
    <t>L =</t>
  </si>
  <si>
    <t>m</t>
  </si>
  <si>
    <t xml:space="preserve"> kg/m2</t>
  </si>
  <si>
    <t>Q =</t>
  </si>
  <si>
    <t xml:space="preserve">E = </t>
  </si>
  <si>
    <t>N/cm</t>
  </si>
  <si>
    <t>kN</t>
  </si>
  <si>
    <t>kNm</t>
  </si>
  <si>
    <t>cm</t>
  </si>
  <si>
    <t>kN/m</t>
  </si>
  <si>
    <t>Позитиван</t>
  </si>
  <si>
    <t>Негативан</t>
  </si>
  <si>
    <t>Мu,max</t>
  </si>
  <si>
    <t>Mu,min</t>
  </si>
  <si>
    <t>J-</t>
  </si>
  <si>
    <t>Md+ =</t>
  </si>
  <si>
    <t>kNm/m</t>
  </si>
  <si>
    <t>Md- =</t>
  </si>
  <si>
    <t>Ru, max</t>
  </si>
  <si>
    <t>За позитиван положај</t>
  </si>
  <si>
    <t>fy = 320</t>
  </si>
  <si>
    <t>t =</t>
  </si>
  <si>
    <t>N/mm2</t>
  </si>
  <si>
    <t>fy</t>
  </si>
  <si>
    <t>mm</t>
  </si>
  <si>
    <t>Положај=</t>
  </si>
  <si>
    <t>Позитиван положај   +</t>
  </si>
  <si>
    <t>Негативан положај  -</t>
  </si>
  <si>
    <t>t=</t>
  </si>
  <si>
    <t>Md+</t>
  </si>
  <si>
    <t>Md-</t>
  </si>
  <si>
    <t>fy = 280</t>
  </si>
  <si>
    <t xml:space="preserve">Md+ </t>
  </si>
  <si>
    <t xml:space="preserve">Md- </t>
  </si>
  <si>
    <t>За негативан положај</t>
  </si>
  <si>
    <t>q =</t>
  </si>
  <si>
    <t>g+q =</t>
  </si>
  <si>
    <t>g=</t>
  </si>
  <si>
    <r>
      <t xml:space="preserve">g </t>
    </r>
    <r>
      <rPr>
        <sz val="10"/>
        <color theme="1"/>
        <rFont val="Calibri"/>
        <family val="2"/>
        <scheme val="minor"/>
      </rPr>
      <t>(kg/m</t>
    </r>
    <r>
      <rPr>
        <vertAlign val="super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)</t>
    </r>
  </si>
  <si>
    <t>L</t>
  </si>
  <si>
    <t>n</t>
  </si>
  <si>
    <t>Пресек у пољу</t>
  </si>
  <si>
    <t>Отпорност на смицање</t>
  </si>
  <si>
    <r>
      <t>γ</t>
    </r>
    <r>
      <rPr>
        <vertAlign val="subscript"/>
        <sz val="11"/>
        <color theme="1"/>
        <rFont val="Calibri"/>
        <family val="2"/>
        <scheme val="minor"/>
      </rPr>
      <t>MO</t>
    </r>
    <r>
      <rPr>
        <sz val="11"/>
        <color theme="1"/>
        <rFont val="Calibri"/>
        <family val="2"/>
        <charset val="238"/>
        <scheme val="minor"/>
      </rPr>
      <t xml:space="preserve"> =</t>
    </r>
  </si>
  <si>
    <r>
      <t>γ</t>
    </r>
    <r>
      <rPr>
        <vertAlign val="subscript"/>
        <sz val="11"/>
        <color theme="1"/>
        <rFont val="Calibri"/>
        <family val="2"/>
        <scheme val="minor"/>
      </rPr>
      <t>M1</t>
    </r>
    <r>
      <rPr>
        <sz val="11"/>
        <color theme="1"/>
        <rFont val="Calibri"/>
        <family val="2"/>
        <charset val="238"/>
        <scheme val="minor"/>
      </rPr>
      <t xml:space="preserve"> =</t>
    </r>
  </si>
  <si>
    <r>
      <t>V</t>
    </r>
    <r>
      <rPr>
        <sz val="9"/>
        <color theme="1"/>
        <rFont val="Calibri"/>
        <family val="2"/>
        <scheme val="minor"/>
      </rPr>
      <t xml:space="preserve">pl,Rd </t>
    </r>
    <r>
      <rPr>
        <sz val="11"/>
        <color theme="1"/>
        <rFont val="Calibri"/>
        <family val="2"/>
        <charset val="238"/>
        <scheme val="minor"/>
      </rPr>
      <t>=</t>
    </r>
  </si>
  <si>
    <r>
      <t>h</t>
    </r>
    <r>
      <rPr>
        <sz val="9"/>
        <color theme="1"/>
        <rFont val="Calibri"/>
        <family val="2"/>
        <scheme val="minor"/>
      </rPr>
      <t>w</t>
    </r>
    <r>
      <rPr>
        <sz val="11"/>
        <color theme="1"/>
        <rFont val="Calibri"/>
        <family val="2"/>
        <charset val="238"/>
        <scheme val="minor"/>
      </rPr>
      <t>/sin</t>
    </r>
    <r>
      <rPr>
        <sz val="11"/>
        <color theme="1"/>
        <rFont val="Calibri"/>
        <family val="2"/>
      </rPr>
      <t>ϕ</t>
    </r>
    <r>
      <rPr>
        <sz val="8.8000000000000007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x t x fy/(γ</t>
    </r>
    <r>
      <rPr>
        <vertAlign val="subscript"/>
        <sz val="8"/>
        <color theme="1"/>
        <rFont val="Calibri"/>
        <family val="2"/>
        <scheme val="minor"/>
      </rPr>
      <t xml:space="preserve">MO </t>
    </r>
    <r>
      <rPr>
        <sz val="11"/>
        <color theme="1"/>
        <rFont val="Calibri"/>
        <family val="2"/>
        <charset val="238"/>
        <scheme val="minor"/>
      </rPr>
      <t xml:space="preserve">x </t>
    </r>
    <r>
      <rPr>
        <sz val="11"/>
        <color theme="1"/>
        <rFont val="Calibri"/>
        <family val="2"/>
      </rPr>
      <t>Ѵ3) =</t>
    </r>
  </si>
  <si>
    <t>kN/rebru</t>
  </si>
  <si>
    <t>Делотворна виткост ребра</t>
  </si>
  <si>
    <r>
      <t>λ</t>
    </r>
    <r>
      <rPr>
        <sz val="8.8000000000000007"/>
        <color theme="1"/>
        <rFont val="Calibri"/>
        <family val="2"/>
      </rPr>
      <t xml:space="preserve">w* = </t>
    </r>
    <r>
      <rPr>
        <sz val="11"/>
        <color theme="1"/>
        <rFont val="Calibri"/>
        <family val="2"/>
      </rPr>
      <t>0,346</t>
    </r>
    <r>
      <rPr>
        <sz val="8.8000000000000007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x</t>
    </r>
    <r>
      <rPr>
        <sz val="8.8000000000000007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S</t>
    </r>
    <r>
      <rPr>
        <sz val="8.8000000000000007"/>
        <color theme="1"/>
        <rFont val="Calibri"/>
        <family val="2"/>
      </rPr>
      <t>w/</t>
    </r>
    <r>
      <rPr>
        <sz val="11"/>
        <color theme="1"/>
        <rFont val="Calibri"/>
        <family val="2"/>
      </rPr>
      <t>t</t>
    </r>
    <r>
      <rPr>
        <sz val="8.8000000000000007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x</t>
    </r>
    <r>
      <rPr>
        <sz val="8.8000000000000007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Ѵ(fy/E) =</t>
    </r>
  </si>
  <si>
    <t>Отпорност на смичуће избочавање fbv</t>
  </si>
  <si>
    <t>ребро без укрућења</t>
  </si>
  <si>
    <t>ребро са укрућењем</t>
  </si>
  <si>
    <t>λw*</t>
  </si>
  <si>
    <t>на ослонцу</t>
  </si>
  <si>
    <t>λw*&lt;0,83</t>
  </si>
  <si>
    <t>0,58 fyb</t>
  </si>
  <si>
    <t>0,83&lt;λw*&lt;1,4</t>
  </si>
  <si>
    <t>0,48 fyb /λw*</t>
  </si>
  <si>
    <t>λw* &gt; 1,4</t>
  </si>
  <si>
    <r>
      <t>0,67 fyb /λw*</t>
    </r>
    <r>
      <rPr>
        <sz val="11"/>
        <color theme="1"/>
        <rFont val="Calibri"/>
        <family val="2"/>
      </rPr>
      <t>²</t>
    </r>
  </si>
  <si>
    <t xml:space="preserve">fbv = </t>
  </si>
  <si>
    <r>
      <t>V</t>
    </r>
    <r>
      <rPr>
        <vertAlign val="subscript"/>
        <sz val="11"/>
        <color theme="1"/>
        <rFont val="Calibri"/>
        <family val="2"/>
        <scheme val="minor"/>
      </rPr>
      <t>b,Rd</t>
    </r>
    <r>
      <rPr>
        <sz val="11"/>
        <color theme="1"/>
        <rFont val="Calibri"/>
        <family val="2"/>
        <charset val="238"/>
        <scheme val="minor"/>
      </rPr>
      <t xml:space="preserve"> =</t>
    </r>
  </si>
  <si>
    <r>
      <t>h</t>
    </r>
    <r>
      <rPr>
        <sz val="9"/>
        <color theme="1"/>
        <rFont val="Calibri"/>
        <family val="2"/>
        <scheme val="minor"/>
      </rPr>
      <t>w</t>
    </r>
    <r>
      <rPr>
        <sz val="11"/>
        <color theme="1"/>
        <rFont val="Calibri"/>
        <family val="2"/>
        <charset val="238"/>
        <scheme val="minor"/>
      </rPr>
      <t>/sin</t>
    </r>
    <r>
      <rPr>
        <sz val="11"/>
        <color theme="1"/>
        <rFont val="Calibri"/>
        <family val="2"/>
      </rPr>
      <t>ϕ</t>
    </r>
    <r>
      <rPr>
        <sz val="8.8000000000000007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x t x fbv/γ</t>
    </r>
    <r>
      <rPr>
        <vertAlign val="subscript"/>
        <sz val="8"/>
        <color theme="1"/>
        <rFont val="Calibri"/>
        <family val="2"/>
        <scheme val="minor"/>
      </rPr>
      <t xml:space="preserve">M1 </t>
    </r>
    <r>
      <rPr>
        <sz val="11"/>
        <color theme="1"/>
        <rFont val="Calibri"/>
        <family val="2"/>
      </rPr>
      <t xml:space="preserve"> =</t>
    </r>
  </si>
  <si>
    <r>
      <t>V</t>
    </r>
    <r>
      <rPr>
        <vertAlign val="subscript"/>
        <sz val="11"/>
        <color theme="1"/>
        <rFont val="Calibri"/>
        <family val="2"/>
        <scheme val="minor"/>
      </rPr>
      <t>wRd</t>
    </r>
    <r>
      <rPr>
        <sz val="11"/>
        <color theme="1"/>
        <rFont val="Calibri"/>
        <family val="2"/>
        <charset val="238"/>
        <scheme val="minor"/>
      </rPr>
      <t xml:space="preserve"> = min од </t>
    </r>
  </si>
  <si>
    <r>
      <t>V</t>
    </r>
    <r>
      <rPr>
        <vertAlign val="subscript"/>
        <sz val="11"/>
        <color theme="1"/>
        <rFont val="Calibri"/>
        <family val="2"/>
        <scheme val="minor"/>
      </rPr>
      <t>pl,Rd</t>
    </r>
    <r>
      <rPr>
        <sz val="11"/>
        <color theme="1"/>
        <rFont val="Calibri"/>
        <family val="2"/>
        <charset val="238"/>
        <scheme val="minor"/>
      </rPr>
      <t xml:space="preserve">  и    V</t>
    </r>
    <r>
      <rPr>
        <vertAlign val="subscript"/>
        <sz val="11"/>
        <color theme="1"/>
        <rFont val="Calibri"/>
        <family val="2"/>
        <scheme val="minor"/>
      </rPr>
      <t xml:space="preserve">b,Rd </t>
    </r>
  </si>
  <si>
    <r>
      <t>V</t>
    </r>
    <r>
      <rPr>
        <vertAlign val="subscript"/>
        <sz val="11"/>
        <color theme="1"/>
        <rFont val="Calibri"/>
        <family val="2"/>
        <scheme val="minor"/>
      </rPr>
      <t>wRd</t>
    </r>
    <r>
      <rPr>
        <sz val="11"/>
        <color theme="1"/>
        <rFont val="Calibri"/>
        <family val="2"/>
        <charset val="238"/>
        <scheme val="minor"/>
      </rPr>
      <t xml:space="preserve"> = </t>
    </r>
  </si>
  <si>
    <r>
      <t>V</t>
    </r>
    <r>
      <rPr>
        <vertAlign val="subscript"/>
        <sz val="11"/>
        <color theme="1"/>
        <rFont val="Calibri"/>
        <family val="2"/>
        <scheme val="minor"/>
      </rPr>
      <t>R,d</t>
    </r>
    <r>
      <rPr>
        <sz val="11"/>
        <color theme="1"/>
        <rFont val="Calibri"/>
        <family val="2"/>
        <charset val="238"/>
        <scheme val="minor"/>
      </rPr>
      <t xml:space="preserve"> =</t>
    </r>
  </si>
  <si>
    <r>
      <t>Vmin x sin</t>
    </r>
    <r>
      <rPr>
        <sz val="11"/>
        <color theme="1"/>
        <rFont val="Calibri"/>
        <family val="2"/>
      </rPr>
      <t>ϕ</t>
    </r>
    <r>
      <rPr>
        <sz val="8.8000000000000007"/>
        <color theme="1"/>
        <rFont val="Calibri"/>
        <family val="2"/>
      </rPr>
      <t xml:space="preserve">  </t>
    </r>
    <r>
      <rPr>
        <sz val="10"/>
        <color theme="1"/>
        <rFont val="Calibri"/>
        <family val="2"/>
      </rPr>
      <t xml:space="preserve">x </t>
    </r>
    <r>
      <rPr>
        <sz val="11"/>
        <color theme="1"/>
        <rFont val="Calibri"/>
        <family val="2"/>
      </rPr>
      <t>1000 /n x 2 =</t>
    </r>
  </si>
  <si>
    <t>Отпорност на Crippling ребра</t>
  </si>
  <si>
    <r>
      <t>R</t>
    </r>
    <r>
      <rPr>
        <vertAlign val="subscript"/>
        <sz val="11"/>
        <color theme="1"/>
        <rFont val="Calibri"/>
        <family val="2"/>
        <scheme val="minor"/>
      </rPr>
      <t>w,Rd</t>
    </r>
    <r>
      <rPr>
        <sz val="11"/>
        <color theme="1"/>
        <rFont val="Calibri"/>
        <family val="2"/>
        <charset val="238"/>
        <scheme val="minor"/>
      </rPr>
      <t xml:space="preserve"> =</t>
    </r>
  </si>
  <si>
    <r>
      <rPr>
        <sz val="11"/>
        <color theme="1"/>
        <rFont val="Calibri"/>
        <family val="2"/>
      </rPr>
      <t>α</t>
    </r>
    <r>
      <rPr>
        <sz val="8.8000000000000007"/>
        <color theme="1"/>
        <rFont val="Calibri"/>
        <family val="2"/>
      </rPr>
      <t xml:space="preserve"> =</t>
    </r>
  </si>
  <si>
    <t xml:space="preserve">ширина ослонца </t>
  </si>
  <si>
    <r>
      <t>bp1</t>
    </r>
    <r>
      <rPr>
        <sz val="9"/>
        <color theme="1"/>
        <rFont val="Calibri"/>
        <family val="2"/>
        <scheme val="minor"/>
      </rPr>
      <t>(mm)</t>
    </r>
    <r>
      <rPr>
        <sz val="11"/>
        <color theme="1"/>
        <rFont val="Calibri"/>
        <family val="2"/>
        <charset val="238"/>
        <scheme val="minor"/>
      </rPr>
      <t>=</t>
    </r>
  </si>
  <si>
    <r>
      <t>h</t>
    </r>
    <r>
      <rPr>
        <sz val="9"/>
        <color theme="1"/>
        <rFont val="Calibri"/>
        <family val="2"/>
        <scheme val="minor"/>
      </rPr>
      <t>a*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sz val="9"/>
        <color theme="1"/>
        <rFont val="Calibri"/>
        <family val="2"/>
        <scheme val="minor"/>
      </rPr>
      <t>(mm)</t>
    </r>
    <r>
      <rPr>
        <sz val="11"/>
        <color theme="1"/>
        <rFont val="Calibri"/>
        <family val="2"/>
        <charset val="238"/>
        <scheme val="minor"/>
      </rPr>
      <t>=</t>
    </r>
  </si>
  <si>
    <r>
      <t>bp2</t>
    </r>
    <r>
      <rPr>
        <sz val="9"/>
        <color theme="1"/>
        <rFont val="Calibri"/>
        <family val="2"/>
        <scheme val="minor"/>
      </rPr>
      <t>(mm)</t>
    </r>
    <r>
      <rPr>
        <sz val="11"/>
        <color theme="1"/>
        <rFont val="Calibri"/>
        <family val="2"/>
        <charset val="238"/>
        <scheme val="minor"/>
      </rPr>
      <t>=</t>
    </r>
  </si>
  <si>
    <r>
      <t>hs</t>
    </r>
    <r>
      <rPr>
        <sz val="9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sz val="9"/>
        <color theme="1"/>
        <rFont val="Calibri"/>
        <family val="2"/>
        <scheme val="minor"/>
      </rPr>
      <t>(mm)</t>
    </r>
    <r>
      <rPr>
        <sz val="11"/>
        <color theme="1"/>
        <rFont val="Calibri"/>
        <family val="2"/>
        <charset val="238"/>
        <scheme val="minor"/>
      </rPr>
      <t>=</t>
    </r>
  </si>
  <si>
    <r>
      <t xml:space="preserve">t </t>
    </r>
    <r>
      <rPr>
        <sz val="9"/>
        <color theme="1"/>
        <rFont val="Calibri"/>
        <family val="2"/>
        <scheme val="minor"/>
      </rPr>
      <t>(mm)</t>
    </r>
    <r>
      <rPr>
        <sz val="11"/>
        <color theme="1"/>
        <rFont val="Calibri"/>
        <family val="2"/>
        <charset val="238"/>
        <scheme val="minor"/>
      </rPr>
      <t>=</t>
    </r>
  </si>
  <si>
    <t>xa=</t>
  </si>
  <si>
    <r>
      <t>r</t>
    </r>
    <r>
      <rPr>
        <sz val="9"/>
        <color theme="1"/>
        <rFont val="Calibri"/>
        <family val="2"/>
        <scheme val="minor"/>
      </rPr>
      <t>(mm)</t>
    </r>
    <r>
      <rPr>
        <sz val="11"/>
        <color theme="1"/>
        <rFont val="Calibri"/>
        <family val="2"/>
        <charset val="238"/>
        <scheme val="minor"/>
      </rPr>
      <t>=</t>
    </r>
  </si>
  <si>
    <r>
      <t>hbr</t>
    </r>
    <r>
      <rPr>
        <sz val="9"/>
        <color theme="1"/>
        <rFont val="Calibri"/>
        <family val="2"/>
        <scheme val="minor"/>
      </rPr>
      <t>(mm)</t>
    </r>
    <r>
      <rPr>
        <sz val="11"/>
        <color theme="1"/>
        <rFont val="Calibri"/>
        <family val="2"/>
        <charset val="238"/>
        <scheme val="minor"/>
      </rPr>
      <t>=</t>
    </r>
  </si>
  <si>
    <t>fy=</t>
  </si>
  <si>
    <t>Ek=</t>
  </si>
  <si>
    <r>
      <t>gr</t>
    </r>
    <r>
      <rPr>
        <sz val="9"/>
        <color theme="1"/>
        <rFont val="Calibri"/>
        <family val="2"/>
        <scheme val="minor"/>
      </rPr>
      <t>=rmx(tg</t>
    </r>
    <r>
      <rPr>
        <sz val="9"/>
        <color theme="1"/>
        <rFont val="Calibri"/>
        <family val="2"/>
      </rPr>
      <t>ℓ/2-sinℓ/2)=</t>
    </r>
  </si>
  <si>
    <r>
      <t>h</t>
    </r>
    <r>
      <rPr>
        <sz val="9"/>
        <color theme="1"/>
        <rFont val="Calibri"/>
        <family val="2"/>
        <scheme val="minor"/>
      </rPr>
      <t>a</t>
    </r>
    <r>
      <rPr>
        <sz val="9"/>
        <color theme="1"/>
        <rFont val="Calibri"/>
        <family val="2"/>
        <scheme val="minor"/>
      </rPr>
      <t>(mm)</t>
    </r>
    <r>
      <rPr>
        <sz val="11"/>
        <color theme="1"/>
        <rFont val="Calibri"/>
        <family val="2"/>
        <charset val="238"/>
        <scheme val="minor"/>
      </rPr>
      <t>=</t>
    </r>
  </si>
  <si>
    <r>
      <t>bp=b</t>
    </r>
    <r>
      <rPr>
        <sz val="10"/>
        <color theme="1"/>
        <rFont val="Calibri"/>
        <family val="2"/>
      </rPr>
      <t xml:space="preserve"> -2gr</t>
    </r>
    <r>
      <rPr>
        <sz val="11"/>
        <color theme="1"/>
        <rFont val="Calibri"/>
        <family val="2"/>
      </rPr>
      <t>=</t>
    </r>
  </si>
  <si>
    <r>
      <rPr>
        <sz val="9"/>
        <color theme="1"/>
        <rFont val="Calibri"/>
        <family val="2"/>
        <scheme val="minor"/>
      </rPr>
      <t>Sa(mm)</t>
    </r>
    <r>
      <rPr>
        <sz val="11"/>
        <color theme="1"/>
        <rFont val="Calibri"/>
        <family val="2"/>
        <charset val="238"/>
        <scheme val="minor"/>
      </rPr>
      <t>=</t>
    </r>
  </si>
  <si>
    <t>ℓ⁰ =</t>
  </si>
  <si>
    <t>b1r=b1-gr=</t>
  </si>
  <si>
    <r>
      <t>V</t>
    </r>
    <r>
      <rPr>
        <sz val="9"/>
        <color theme="1"/>
        <rFont val="Calibri"/>
        <family val="2"/>
        <scheme val="minor"/>
      </rPr>
      <t>sa(mm)=</t>
    </r>
  </si>
  <si>
    <r>
      <t>br</t>
    </r>
    <r>
      <rPr>
        <sz val="9"/>
        <color theme="1"/>
        <rFont val="Calibri"/>
        <family val="2"/>
        <scheme val="minor"/>
      </rPr>
      <t>(mm)</t>
    </r>
    <r>
      <rPr>
        <sz val="11"/>
        <color theme="1"/>
        <rFont val="Calibri"/>
        <family val="2"/>
        <charset val="238"/>
        <scheme val="minor"/>
      </rPr>
      <t>=</t>
    </r>
  </si>
  <si>
    <r>
      <rPr>
        <sz val="9"/>
        <color theme="1"/>
        <rFont val="Calibri"/>
        <family val="2"/>
        <scheme val="minor"/>
      </rPr>
      <t>Ssa(mm)</t>
    </r>
    <r>
      <rPr>
        <sz val="11"/>
        <color theme="1"/>
        <rFont val="Calibri"/>
        <family val="2"/>
        <charset val="238"/>
        <scheme val="minor"/>
      </rPr>
      <t>=</t>
    </r>
  </si>
  <si>
    <r>
      <t>Sw=hw/sin</t>
    </r>
    <r>
      <rPr>
        <sz val="11"/>
        <color theme="1"/>
        <rFont val="Calibri"/>
        <family val="2"/>
      </rPr>
      <t>ρ</t>
    </r>
    <r>
      <rPr>
        <sz val="9.9"/>
        <color theme="1"/>
        <rFont val="Calibri"/>
        <family val="2"/>
      </rPr>
      <t>=</t>
    </r>
  </si>
  <si>
    <r>
      <t>S</t>
    </r>
    <r>
      <rPr>
        <sz val="9"/>
        <color theme="1"/>
        <rFont val="Calibri"/>
        <family val="2"/>
        <scheme val="minor"/>
      </rPr>
      <t>sbr(mm)</t>
    </r>
    <r>
      <rPr>
        <sz val="11"/>
        <color theme="1"/>
        <rFont val="Calibri"/>
        <family val="2"/>
        <charset val="238"/>
        <scheme val="minor"/>
      </rPr>
      <t>=</t>
    </r>
  </si>
  <si>
    <t>&gt; 45</t>
  </si>
  <si>
    <t>&lt; 90</t>
  </si>
  <si>
    <t>hw/t=</t>
  </si>
  <si>
    <t>&lt; =</t>
  </si>
  <si>
    <r>
      <t>500 sin</t>
    </r>
    <r>
      <rPr>
        <sz val="11"/>
        <color theme="1"/>
        <rFont val="Calibri"/>
        <family val="2"/>
      </rPr>
      <t>ρ</t>
    </r>
    <r>
      <rPr>
        <sz val="9.9"/>
        <color theme="1"/>
        <rFont val="Calibri"/>
        <family val="2"/>
      </rPr>
      <t xml:space="preserve"> =</t>
    </r>
  </si>
  <si>
    <t>bp/t =</t>
  </si>
  <si>
    <t xml:space="preserve">&lt;= </t>
  </si>
  <si>
    <t>r (mm)=</t>
  </si>
  <si>
    <t>&lt; 5 t =</t>
  </si>
  <si>
    <t>&lt; 0.10 bp =</t>
  </si>
  <si>
    <t>Утицаји заобљења рубова се занемарује</t>
  </si>
  <si>
    <r>
      <t>&lt;=    250 x Sw/bp</t>
    </r>
    <r>
      <rPr>
        <sz val="9.9"/>
        <color theme="1"/>
        <rFont val="Calibri"/>
        <family val="2"/>
      </rPr>
      <t xml:space="preserve"> =</t>
    </r>
  </si>
  <si>
    <r>
      <t>b</t>
    </r>
    <r>
      <rPr>
        <sz val="11"/>
        <color theme="1"/>
        <rFont val="Calibri"/>
        <family val="2"/>
      </rPr>
      <t>₀</t>
    </r>
    <r>
      <rPr>
        <sz val="9.9"/>
        <color theme="1"/>
        <rFont val="Calibri"/>
        <family val="2"/>
      </rPr>
      <t>=bp/2 =</t>
    </r>
  </si>
  <si>
    <t xml:space="preserve">&lt;=   0.85 L /50 = </t>
  </si>
  <si>
    <t>Занемарује се ефекат shear laga</t>
  </si>
  <si>
    <t>Tабела за прорачун бруто пресека</t>
  </si>
  <si>
    <r>
      <t>L</t>
    </r>
    <r>
      <rPr>
        <sz val="9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charset val="238"/>
        <scheme val="minor"/>
      </rPr>
      <t xml:space="preserve"> mm</t>
    </r>
  </si>
  <si>
    <t>z</t>
  </si>
  <si>
    <t>L x z</t>
  </si>
  <si>
    <r>
      <t>Lz</t>
    </r>
    <r>
      <rPr>
        <sz val="11"/>
        <color theme="1"/>
        <rFont val="Calibri"/>
        <family val="2"/>
      </rPr>
      <t>²</t>
    </r>
  </si>
  <si>
    <t>h(mm)</t>
  </si>
  <si>
    <r>
      <t>Lh</t>
    </r>
    <r>
      <rPr>
        <sz val="11"/>
        <color theme="1"/>
        <rFont val="Calibri"/>
        <family val="2"/>
      </rPr>
      <t>²</t>
    </r>
    <r>
      <rPr>
        <sz val="9.9"/>
        <color theme="1"/>
        <rFont val="Calibri"/>
        <family val="2"/>
      </rPr>
      <t>/12</t>
    </r>
  </si>
  <si>
    <r>
      <t>Σ</t>
    </r>
    <r>
      <rPr>
        <sz val="9.9"/>
        <color theme="1"/>
        <rFont val="Calibri"/>
        <family val="2"/>
      </rPr>
      <t xml:space="preserve">  =</t>
    </r>
  </si>
  <si>
    <r>
      <t>ec=</t>
    </r>
    <r>
      <rPr>
        <sz val="11"/>
        <color theme="1"/>
        <rFont val="Calibri"/>
        <family val="2"/>
      </rPr>
      <t>Σ</t>
    </r>
    <r>
      <rPr>
        <sz val="9.9"/>
        <color theme="1"/>
        <rFont val="Calibri"/>
        <family val="2"/>
      </rPr>
      <t>L x z/ΣL=</t>
    </r>
  </si>
  <si>
    <t>Ag = t x L =</t>
  </si>
  <si>
    <r>
      <t>mm</t>
    </r>
    <r>
      <rPr>
        <sz val="11"/>
        <color theme="1"/>
        <rFont val="Calibri"/>
        <family val="2"/>
      </rPr>
      <t>²</t>
    </r>
  </si>
  <si>
    <r>
      <t>mm</t>
    </r>
    <r>
      <rPr>
        <sz val="11"/>
        <color theme="1"/>
        <rFont val="Calibri"/>
        <family val="2"/>
      </rPr>
      <t>4</t>
    </r>
  </si>
  <si>
    <t>а) Позитивни положај</t>
  </si>
  <si>
    <t xml:space="preserve">           Положај у пољу</t>
  </si>
  <si>
    <t>Притиснута широка ножица</t>
  </si>
  <si>
    <t>Редукција притисуте ножице због утицаја међуукрућења</t>
  </si>
  <si>
    <t>*)  Делотворна ширина притиснуте ножице</t>
  </si>
  <si>
    <t xml:space="preserve">Усвојено </t>
  </si>
  <si>
    <r>
      <t>к</t>
    </r>
    <r>
      <rPr>
        <sz val="11"/>
        <color theme="1"/>
        <rFont val="Calibri"/>
        <family val="2"/>
      </rPr>
      <t>σ</t>
    </r>
    <r>
      <rPr>
        <sz val="9.9"/>
        <color theme="1"/>
        <rFont val="Calibri"/>
        <family val="2"/>
      </rPr>
      <t xml:space="preserve"> = </t>
    </r>
  </si>
  <si>
    <t>Релативна виткост на избочавање</t>
  </si>
  <si>
    <r>
      <t>усвојено ψ</t>
    </r>
    <r>
      <rPr>
        <sz val="9.9"/>
        <color theme="1"/>
        <rFont val="Calibri"/>
        <family val="2"/>
      </rPr>
      <t xml:space="preserve"> = </t>
    </r>
  </si>
  <si>
    <r>
      <rPr>
        <sz val="11"/>
        <color theme="1"/>
        <rFont val="Calibri"/>
        <family val="2"/>
      </rPr>
      <t>ε</t>
    </r>
    <r>
      <rPr>
        <sz val="9.9"/>
        <color theme="1"/>
        <rFont val="Calibri"/>
        <family val="2"/>
      </rPr>
      <t xml:space="preserve"> = √235/fy =</t>
    </r>
  </si>
  <si>
    <r>
      <t>ρ = (λ*-0.0055*(3+ψ</t>
    </r>
    <r>
      <rPr>
        <sz val="9.9"/>
        <color theme="1"/>
        <rFont val="Calibri"/>
        <family val="2"/>
      </rPr>
      <t>))/λ</t>
    </r>
    <r>
      <rPr>
        <sz val="8.9"/>
        <color theme="1"/>
        <rFont val="Calibri"/>
        <family val="2"/>
      </rPr>
      <t>*²</t>
    </r>
  </si>
  <si>
    <r>
      <t>λ*</t>
    </r>
    <r>
      <rPr>
        <sz val="9.9"/>
        <color theme="1"/>
        <rFont val="Calibri"/>
        <family val="2"/>
      </rPr>
      <t>=( bp/t )/(28.4 ε √kσ) =</t>
    </r>
  </si>
  <si>
    <t>ρ =</t>
  </si>
  <si>
    <t>Пошто је ножица укрућена све се рачуна за</t>
  </si>
  <si>
    <t xml:space="preserve">beff = ρ x bp = </t>
  </si>
  <si>
    <r>
      <t>ρ =1 za λ</t>
    </r>
    <r>
      <rPr>
        <sz val="9.9"/>
        <color theme="1"/>
        <rFont val="Calibri"/>
        <family val="2"/>
      </rPr>
      <t>* &lt;= 0.673</t>
    </r>
  </si>
  <si>
    <t>сваки засебни део</t>
  </si>
  <si>
    <t>Ножица је укрућена са два симетрична међуукрућења па је:</t>
  </si>
  <si>
    <r>
      <t xml:space="preserve">Овде је </t>
    </r>
    <r>
      <rPr>
        <sz val="11"/>
        <color theme="1"/>
        <rFont val="Calibri"/>
        <family val="2"/>
      </rPr>
      <t>ψ</t>
    </r>
    <r>
      <rPr>
        <sz val="9.9"/>
        <color theme="1"/>
        <rFont val="Calibri"/>
        <family val="2"/>
      </rPr>
      <t>=1 зато што је пресек</t>
    </r>
  </si>
  <si>
    <t>bs =</t>
  </si>
  <si>
    <r>
      <t>bpr+2hbr x (</t>
    </r>
    <r>
      <rPr>
        <sz val="11"/>
        <color theme="1"/>
        <rFont val="Calibri"/>
        <family val="2"/>
      </rPr>
      <t>√</t>
    </r>
    <r>
      <rPr>
        <sz val="9.9"/>
        <color theme="1"/>
        <rFont val="Calibri"/>
        <family val="2"/>
      </rPr>
      <t>2 -1)=</t>
    </r>
  </si>
  <si>
    <r>
      <t xml:space="preserve">притиснут и симетричан па је </t>
    </r>
    <r>
      <rPr>
        <sz val="11"/>
        <color theme="1"/>
        <rFont val="Calibri"/>
        <family val="2"/>
      </rPr>
      <t>σ</t>
    </r>
    <r>
      <rPr>
        <sz val="9.9"/>
        <color theme="1"/>
        <rFont val="Calibri"/>
        <family val="2"/>
      </rPr>
      <t>1=σ2</t>
    </r>
  </si>
  <si>
    <t>be =</t>
  </si>
  <si>
    <t>2 bp1r + bp2 +2 bs=</t>
  </si>
  <si>
    <r>
      <t>а и к</t>
    </r>
    <r>
      <rPr>
        <sz val="11"/>
        <color theme="1"/>
        <rFont val="Calibri"/>
        <family val="2"/>
      </rPr>
      <t>σ</t>
    </r>
    <r>
      <rPr>
        <sz val="9.9"/>
        <color theme="1"/>
        <rFont val="Calibri"/>
        <family val="2"/>
      </rPr>
      <t xml:space="preserve">= 4 </t>
    </r>
  </si>
  <si>
    <t>be1 =</t>
  </si>
  <si>
    <t>0.5 beff =</t>
  </si>
  <si>
    <t>bs=</t>
  </si>
  <si>
    <t>ширина укрућења мерена по обиму</t>
  </si>
  <si>
    <t>be2 =</t>
  </si>
  <si>
    <t>Само за bp1</t>
  </si>
  <si>
    <r>
      <t>λ*</t>
    </r>
    <r>
      <rPr>
        <sz val="9.9"/>
        <color theme="1"/>
        <rFont val="Calibri"/>
        <family val="2"/>
      </rPr>
      <t>=( bp1/t )/(28.4 ε √kσ) =</t>
    </r>
  </si>
  <si>
    <t>bp1,eff= ρ x bp1 =</t>
  </si>
  <si>
    <t>bp1,e1 = bp1,e2 = 0.5 bp1,eff =</t>
  </si>
  <si>
    <t>Само за bp2</t>
  </si>
  <si>
    <t>Само за br</t>
  </si>
  <si>
    <r>
      <t>ψ</t>
    </r>
    <r>
      <rPr>
        <sz val="9.9"/>
        <color theme="1"/>
        <rFont val="Calibri"/>
        <family val="2"/>
      </rPr>
      <t xml:space="preserve"> = (ec-hbr)/ec =</t>
    </r>
  </si>
  <si>
    <r>
      <t>к</t>
    </r>
    <r>
      <rPr>
        <sz val="11"/>
        <color theme="1"/>
        <rFont val="Calibri"/>
        <family val="2"/>
      </rPr>
      <t>σ</t>
    </r>
    <r>
      <rPr>
        <sz val="9.9"/>
        <color theme="1"/>
        <rFont val="Calibri"/>
        <family val="2"/>
      </rPr>
      <t>=</t>
    </r>
  </si>
  <si>
    <t>ψ=1</t>
  </si>
  <si>
    <r>
      <t>λ*</t>
    </r>
    <r>
      <rPr>
        <sz val="9.9"/>
        <color theme="1"/>
        <rFont val="Calibri"/>
        <family val="2"/>
      </rPr>
      <t>=( br/t )/(28.4 ε √kσ) =</t>
    </r>
  </si>
  <si>
    <t>1&gt;ψ&gt;0</t>
  </si>
  <si>
    <r>
      <t>к</t>
    </r>
    <r>
      <rPr>
        <sz val="11"/>
        <color theme="1"/>
        <rFont val="Calibri"/>
        <family val="2"/>
      </rPr>
      <t>σ</t>
    </r>
    <r>
      <rPr>
        <sz val="9.9"/>
        <color theme="1"/>
        <rFont val="Calibri"/>
        <family val="2"/>
      </rPr>
      <t>=8.2/(1.05+ψ</t>
    </r>
    <r>
      <rPr>
        <sz val="11"/>
        <color theme="1"/>
        <rFont val="Calibri"/>
        <family val="2"/>
        <charset val="238"/>
        <scheme val="minor"/>
      </rPr>
      <t>)=</t>
    </r>
  </si>
  <si>
    <t>br,eff= ρ x br =</t>
  </si>
  <si>
    <t>ψ=0</t>
  </si>
  <si>
    <t>ефективна дужина деонице 5</t>
  </si>
  <si>
    <t>0&gt;ψ&gt;-1</t>
  </si>
  <si>
    <r>
      <rPr>
        <sz val="9"/>
        <color theme="1"/>
        <rFont val="Calibri"/>
        <family val="2"/>
        <scheme val="minor"/>
      </rPr>
      <t>к</t>
    </r>
    <r>
      <rPr>
        <sz val="9"/>
        <color theme="1"/>
        <rFont val="Calibri"/>
        <family val="2"/>
      </rPr>
      <t>σ=7.81-6.29ψ</t>
    </r>
    <r>
      <rPr>
        <sz val="9"/>
        <color theme="1"/>
        <rFont val="Calibri"/>
        <family val="2"/>
        <scheme val="minor"/>
      </rPr>
      <t>+9.78</t>
    </r>
    <r>
      <rPr>
        <sz val="9"/>
        <color theme="1"/>
        <rFont val="Calibri"/>
        <family val="2"/>
      </rPr>
      <t>ψ²=</t>
    </r>
  </si>
  <si>
    <t>ψ=-1</t>
  </si>
  <si>
    <t>-1&gt;ψ&gt;=-3</t>
  </si>
  <si>
    <r>
      <t>к</t>
    </r>
    <r>
      <rPr>
        <sz val="11"/>
        <color theme="1"/>
        <rFont val="Calibri"/>
        <family val="2"/>
      </rPr>
      <t>σ</t>
    </r>
    <r>
      <rPr>
        <sz val="9.9"/>
        <color theme="1"/>
        <rFont val="Calibri"/>
        <family val="2"/>
      </rPr>
      <t>=5.98x(1-ψ</t>
    </r>
    <r>
      <rPr>
        <sz val="11"/>
        <color theme="1"/>
        <rFont val="Calibri"/>
        <family val="2"/>
        <charset val="238"/>
        <scheme val="minor"/>
      </rPr>
      <t>)</t>
    </r>
    <r>
      <rPr>
        <sz val="11"/>
        <color theme="1"/>
        <rFont val="Calibri"/>
        <family val="2"/>
      </rPr>
      <t>² =</t>
    </r>
  </si>
  <si>
    <t>Нови положај неутралне осе</t>
  </si>
  <si>
    <t>за</t>
  </si>
  <si>
    <t>Sefn=</t>
  </si>
  <si>
    <t>1&gt;ψ&gt;=0</t>
  </si>
  <si>
    <t>ψ&lt;0</t>
  </si>
  <si>
    <t>0.6ρ x Sc =</t>
  </si>
  <si>
    <t>&lt; hw/2 =</t>
  </si>
  <si>
    <r>
      <t>Sn = ec/sin</t>
    </r>
    <r>
      <rPr>
        <sz val="11"/>
        <color theme="1"/>
        <rFont val="Calibri"/>
        <family val="2"/>
      </rPr>
      <t>ρ</t>
    </r>
    <r>
      <rPr>
        <sz val="9.9"/>
        <color theme="1"/>
        <rFont val="Calibri"/>
        <family val="2"/>
      </rPr>
      <t xml:space="preserve"> =</t>
    </r>
  </si>
  <si>
    <t>et =</t>
  </si>
  <si>
    <t>hw-et1 =</t>
  </si>
  <si>
    <t>Seff,1 =  0.4 Sn =</t>
  </si>
  <si>
    <t>ψ = -et1/ec1 =</t>
  </si>
  <si>
    <t>Seff,n =  0.6 Sn =</t>
  </si>
  <si>
    <t>Ефективна ширина притиснутог дела ребра</t>
  </si>
  <si>
    <t xml:space="preserve">ec &lt; ha* = </t>
  </si>
  <si>
    <t>Притиснути део ребра је без подужног укрућења</t>
  </si>
  <si>
    <r>
      <t>Seff,o = 0.76 t  √E/(γ</t>
    </r>
    <r>
      <rPr>
        <vertAlign val="subscript"/>
        <sz val="11"/>
        <color theme="1"/>
        <rFont val="Calibri"/>
        <family val="2"/>
      </rPr>
      <t>Mo</t>
    </r>
    <r>
      <rPr>
        <sz val="11"/>
        <color theme="1"/>
        <rFont val="Calibri"/>
        <family val="2"/>
      </rPr>
      <t xml:space="preserve"> x σ</t>
    </r>
    <r>
      <rPr>
        <vertAlign val="subscript"/>
        <sz val="11"/>
        <color theme="1"/>
        <rFont val="Calibri"/>
        <family val="2"/>
      </rPr>
      <t>com,Ed</t>
    </r>
    <r>
      <rPr>
        <sz val="11"/>
        <color theme="1"/>
        <rFont val="Calibri"/>
        <family val="2"/>
      </rPr>
      <t>)</t>
    </r>
  </si>
  <si>
    <r>
      <t>γ</t>
    </r>
    <r>
      <rPr>
        <vertAlign val="subscript"/>
        <sz val="11"/>
        <color theme="1"/>
        <rFont val="Calibri"/>
        <family val="2"/>
      </rPr>
      <t>Mo</t>
    </r>
    <r>
      <rPr>
        <sz val="11"/>
        <color theme="1"/>
        <rFont val="Calibri"/>
        <family val="2"/>
      </rPr>
      <t xml:space="preserve"> =</t>
    </r>
  </si>
  <si>
    <t xml:space="preserve">Seff,o = </t>
  </si>
  <si>
    <r>
      <t xml:space="preserve"> σ</t>
    </r>
    <r>
      <rPr>
        <vertAlign val="subscript"/>
        <sz val="11"/>
        <color theme="1"/>
        <rFont val="Calibri"/>
        <family val="2"/>
      </rPr>
      <t xml:space="preserve">com,Ed </t>
    </r>
    <r>
      <rPr>
        <sz val="11"/>
        <color theme="1"/>
        <rFont val="Calibri"/>
        <family val="2"/>
      </rPr>
      <t xml:space="preserve">= </t>
    </r>
  </si>
  <si>
    <t>Seff,1 =  Seff,o =</t>
  </si>
  <si>
    <t>Seff,n = 1.5 x Seff,o =</t>
  </si>
  <si>
    <t>Seff,1 +Seff,n=</t>
  </si>
  <si>
    <t>&lt; Sa =</t>
  </si>
  <si>
    <t xml:space="preserve">Seff,1 =  </t>
  </si>
  <si>
    <t>hseff,1=</t>
  </si>
  <si>
    <t xml:space="preserve">Seff,n =  </t>
  </si>
  <si>
    <t>hseff,n=</t>
  </si>
  <si>
    <t>Aeff = t x L =</t>
  </si>
  <si>
    <t>mm2</t>
  </si>
  <si>
    <r>
      <t>Jeff,y = t x (Lz</t>
    </r>
    <r>
      <rPr>
        <sz val="11"/>
        <color theme="1"/>
        <rFont val="Calibri"/>
        <family val="2"/>
      </rPr>
      <t>²</t>
    </r>
    <r>
      <rPr>
        <sz val="9.9"/>
        <color theme="1"/>
        <rFont val="Calibri"/>
        <family val="2"/>
      </rPr>
      <t>+Lh²</t>
    </r>
    <r>
      <rPr>
        <sz val="11"/>
        <color theme="1"/>
        <rFont val="Calibri"/>
        <family val="2"/>
        <charset val="238"/>
        <scheme val="minor"/>
      </rPr>
      <t>/12-Lec</t>
    </r>
    <r>
      <rPr>
        <sz val="11"/>
        <color theme="1"/>
        <rFont val="Calibri"/>
        <family val="2"/>
      </rPr>
      <t>²</t>
    </r>
    <r>
      <rPr>
        <sz val="9.9"/>
        <color theme="1"/>
        <rFont val="Calibri"/>
        <family val="2"/>
      </rPr>
      <t xml:space="preserve">) = </t>
    </r>
  </si>
  <si>
    <t>mm4</t>
  </si>
  <si>
    <t>cm4/m</t>
  </si>
  <si>
    <t>Weff,yc = Jeff,y / ec =</t>
  </si>
  <si>
    <t>mm3</t>
  </si>
  <si>
    <t>Отпорни момент за 1 метар ширине</t>
  </si>
  <si>
    <t>Weff,yc,1m = Weff,yc x 1000/bd =</t>
  </si>
  <si>
    <t>mm3/m</t>
  </si>
  <si>
    <t>cm3/m</t>
  </si>
  <si>
    <t>Максимални момент савијања који пресек може да пренесе</t>
  </si>
  <si>
    <t>у позитивном положају.</t>
  </si>
  <si>
    <r>
      <t>Md</t>
    </r>
    <r>
      <rPr>
        <vertAlign val="superscript"/>
        <sz val="11"/>
        <color theme="1"/>
        <rFont val="Calibri"/>
        <family val="2"/>
      </rPr>
      <t xml:space="preserve">+ </t>
    </r>
    <r>
      <rPr>
        <sz val="11"/>
        <color theme="1"/>
        <rFont val="Calibri"/>
        <family val="2"/>
      </rPr>
      <t>= fy x Weff / γm=</t>
    </r>
  </si>
  <si>
    <r>
      <rPr>
        <sz val="11"/>
        <color theme="1"/>
        <rFont val="Calibri"/>
        <family val="2"/>
      </rPr>
      <t>γ</t>
    </r>
    <r>
      <rPr>
        <sz val="8.8000000000000007"/>
        <color theme="1"/>
        <rFont val="Calibri"/>
        <family val="2"/>
      </rPr>
      <t>m =</t>
    </r>
  </si>
  <si>
    <t>б) Негативни положај</t>
  </si>
  <si>
    <t>Притиснута узана ножица</t>
  </si>
  <si>
    <t>Прорачун бруто пресека</t>
  </si>
  <si>
    <t>Површина пресека као за претходни положај</t>
  </si>
  <si>
    <t>Неутрална оса као у претходном са обрнутом вредношћу</t>
  </si>
  <si>
    <t>ec = hw-ec,a =</t>
  </si>
  <si>
    <t>Ag =</t>
  </si>
  <si>
    <r>
      <t>λ*</t>
    </r>
    <r>
      <rPr>
        <sz val="9.9"/>
        <color theme="1"/>
        <rFont val="Calibri"/>
        <family val="2"/>
      </rPr>
      <t>=( bu/t )/(28.4 ε √kσ) =</t>
    </r>
  </si>
  <si>
    <t xml:space="preserve">bueff = ρ x bu = </t>
  </si>
  <si>
    <t>bue1 =</t>
  </si>
  <si>
    <t>bue2 =</t>
  </si>
  <si>
    <t xml:space="preserve">ec &gt;hb+hsa = </t>
  </si>
  <si>
    <t>Seff,2 = (1+0.5 hb/ec)x Seff,o =</t>
  </si>
  <si>
    <r>
      <t>S</t>
    </r>
    <r>
      <rPr>
        <sz val="9"/>
        <color theme="1"/>
        <rFont val="Calibri"/>
        <family val="2"/>
      </rPr>
      <t>eff,3 = (1+0.5 x(ha+hsa)/ec)x Seff,o =</t>
    </r>
  </si>
  <si>
    <t>Seff,n =1.5Seff,o =</t>
  </si>
  <si>
    <t>Sumseff =</t>
  </si>
  <si>
    <r>
      <t>SumS= Sw-(hw-ec)/sinρρ</t>
    </r>
    <r>
      <rPr>
        <sz val="9.9"/>
        <color theme="1"/>
        <rFont val="Calibri"/>
        <family val="2"/>
      </rPr>
      <t>-</t>
    </r>
    <r>
      <rPr>
        <sz val="11"/>
        <color theme="1"/>
        <rFont val="Calibri"/>
        <family val="2"/>
      </rPr>
      <t>hsa/sinρ</t>
    </r>
    <r>
      <rPr>
        <sz val="9.9"/>
        <color theme="1"/>
        <rFont val="Calibri"/>
        <family val="2"/>
      </rPr>
      <t xml:space="preserve"> + Ssa =</t>
    </r>
  </si>
  <si>
    <t>Одговара претходна итерација па је:</t>
  </si>
  <si>
    <t>ec =</t>
  </si>
  <si>
    <t>Максимални моменат савијања који пресек може да пренесе</t>
  </si>
  <si>
    <t>у негативном положају.</t>
  </si>
  <si>
    <r>
      <t>Md</t>
    </r>
    <r>
      <rPr>
        <vertAlign val="superscript"/>
        <sz val="11"/>
        <color theme="1"/>
        <rFont val="Calibri"/>
        <family val="2"/>
      </rPr>
      <t>-</t>
    </r>
    <r>
      <rPr>
        <sz val="11"/>
        <color theme="1"/>
        <rFont val="Calibri"/>
        <family val="2"/>
      </rPr>
      <t>= fy x Weff / γm=</t>
    </r>
  </si>
  <si>
    <t>b1 =</t>
  </si>
  <si>
    <t>ba =</t>
  </si>
  <si>
    <t xml:space="preserve">la = </t>
  </si>
  <si>
    <t>за крајњи ослонац</t>
  </si>
  <si>
    <t>за унутрашњи ослонац</t>
  </si>
  <si>
    <r>
      <t>R</t>
    </r>
    <r>
      <rPr>
        <vertAlign val="subscript"/>
        <sz val="11"/>
        <color theme="1"/>
        <rFont val="Calibri"/>
        <family val="2"/>
        <scheme val="minor"/>
      </rPr>
      <t>w,Rd,1</t>
    </r>
    <r>
      <rPr>
        <sz val="11"/>
        <color theme="1"/>
        <rFont val="Calibri"/>
        <family val="2"/>
        <charset val="238"/>
        <scheme val="minor"/>
      </rPr>
      <t xml:space="preserve"> =</t>
    </r>
  </si>
  <si>
    <r>
      <t>R</t>
    </r>
    <r>
      <rPr>
        <vertAlign val="subscript"/>
        <sz val="11"/>
        <color theme="1"/>
        <rFont val="Calibri"/>
        <family val="2"/>
        <scheme val="minor"/>
      </rPr>
      <t>w,Rd,a</t>
    </r>
    <r>
      <rPr>
        <sz val="11"/>
        <color theme="1"/>
        <rFont val="Calibri"/>
        <family val="2"/>
        <charset val="238"/>
        <scheme val="minor"/>
      </rPr>
      <t xml:space="preserve"> =</t>
    </r>
  </si>
  <si>
    <r>
      <t>R</t>
    </r>
    <r>
      <rPr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charset val="238"/>
        <scheme val="minor"/>
      </rPr>
      <t>, max</t>
    </r>
  </si>
  <si>
    <r>
      <t>Jg = t x (Lz</t>
    </r>
    <r>
      <rPr>
        <sz val="11"/>
        <color theme="1"/>
        <rFont val="Calibri"/>
        <family val="2"/>
      </rPr>
      <t>²</t>
    </r>
    <r>
      <rPr>
        <sz val="9.9"/>
        <color theme="1"/>
        <rFont val="Calibri"/>
        <family val="2"/>
      </rPr>
      <t>+Lh²</t>
    </r>
    <r>
      <rPr>
        <sz val="11"/>
        <color theme="1"/>
        <rFont val="Calibri"/>
        <family val="2"/>
        <charset val="238"/>
        <scheme val="minor"/>
      </rPr>
      <t>/12-L x ec</t>
    </r>
    <r>
      <rPr>
        <sz val="11"/>
        <color theme="1"/>
        <rFont val="Calibri"/>
        <family val="2"/>
      </rPr>
      <t>²</t>
    </r>
    <r>
      <rPr>
        <sz val="9.9"/>
        <color theme="1"/>
        <rFont val="Calibri"/>
        <family val="2"/>
      </rPr>
      <t xml:space="preserve">) = </t>
    </r>
  </si>
  <si>
    <r>
      <t>α</t>
    </r>
    <r>
      <rPr>
        <sz val="8.8000000000000007"/>
        <color theme="1"/>
        <rFont val="Calibri"/>
        <family val="2"/>
      </rPr>
      <t xml:space="preserve"> x</t>
    </r>
  </si>
  <si>
    <t>J+</t>
  </si>
  <si>
    <r>
      <t>γ</t>
    </r>
    <r>
      <rPr>
        <vertAlign val="subscript"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charset val="238"/>
        <scheme val="minor"/>
      </rPr>
      <t xml:space="preserve"> = </t>
    </r>
  </si>
  <si>
    <r>
      <t>α t² Ѵ(fyb x E) x (1-0,1 x Ѵ(r/t)) x (0,5 + Ѵ(0,02 la/t) x (2,4+(ϕ/90)²)/γ</t>
    </r>
    <r>
      <rPr>
        <sz val="8"/>
        <color theme="1"/>
        <rFont val="Calibri"/>
        <family val="2"/>
      </rPr>
      <t>m1</t>
    </r>
  </si>
  <si>
    <t>Отпорност на Crippling ребра са укрућењем</t>
  </si>
  <si>
    <t>hw/t &lt;= 200 =</t>
  </si>
  <si>
    <t>r/t&lt;= 6 =</t>
  </si>
  <si>
    <t>k = fyb/228 =</t>
  </si>
  <si>
    <t>fyb = N/mm2</t>
  </si>
  <si>
    <r>
      <rPr>
        <sz val="11"/>
        <color theme="1"/>
        <rFont val="Calibri"/>
        <family val="2"/>
      </rPr>
      <t>γ</t>
    </r>
    <r>
      <rPr>
        <sz val="9.9"/>
        <color theme="1"/>
        <rFont val="Calibri"/>
        <family val="2"/>
        <charset val="238"/>
      </rPr>
      <t xml:space="preserve">m1 = </t>
    </r>
  </si>
  <si>
    <t>k1 = 1,33-0,33k =</t>
  </si>
  <si>
    <t>k2 = 1,15-0,15r/t =</t>
  </si>
  <si>
    <t>&gt;0,5 &lt; 1,0</t>
  </si>
  <si>
    <r>
      <t>k3 = 0,7+0,3(</t>
    </r>
    <r>
      <rPr>
        <sz val="11"/>
        <color theme="1"/>
        <rFont val="Calibri"/>
        <family val="2"/>
      </rPr>
      <t>ϕ</t>
    </r>
    <r>
      <rPr>
        <sz val="9.9"/>
        <color theme="1"/>
        <rFont val="Calibri"/>
        <family val="2"/>
        <charset val="238"/>
      </rPr>
      <t>/90)</t>
    </r>
    <r>
      <rPr>
        <sz val="9.9"/>
        <color theme="1"/>
        <rFont val="Calibri"/>
        <family val="2"/>
      </rPr>
      <t>² =</t>
    </r>
  </si>
  <si>
    <t>k4 = 1,22-0,22k =</t>
  </si>
  <si>
    <t>k5 = 1,06 - 0,06r/t =</t>
  </si>
  <si>
    <t>&lt;1</t>
  </si>
  <si>
    <r>
      <t>R</t>
    </r>
    <r>
      <rPr>
        <vertAlign val="subscript"/>
        <sz val="11"/>
        <color theme="1"/>
        <rFont val="Calibri"/>
        <family val="2"/>
        <scheme val="minor"/>
      </rPr>
      <t>w,Rd,</t>
    </r>
    <r>
      <rPr>
        <sz val="11"/>
        <color theme="1"/>
        <rFont val="Calibri"/>
        <family val="2"/>
        <charset val="238"/>
        <scheme val="minor"/>
      </rPr>
      <t xml:space="preserve"> A=</t>
    </r>
  </si>
  <si>
    <t>за средњи ослонац</t>
  </si>
  <si>
    <t>Ss,u =bu</t>
  </si>
  <si>
    <r>
      <t>Ss,</t>
    </r>
    <r>
      <rPr>
        <sz val="8"/>
        <color theme="1"/>
        <rFont val="Calibri"/>
        <family val="2"/>
        <scheme val="minor"/>
      </rPr>
      <t xml:space="preserve">A  </t>
    </r>
    <r>
      <rPr>
        <sz val="10"/>
        <color theme="1"/>
        <rFont val="Calibri"/>
        <family val="2"/>
        <scheme val="minor"/>
      </rPr>
      <t>= b</t>
    </r>
    <r>
      <rPr>
        <sz val="8"/>
        <color theme="1"/>
        <rFont val="Calibri"/>
        <family val="2"/>
        <scheme val="minor"/>
      </rPr>
      <t>A</t>
    </r>
  </si>
  <si>
    <t>Ребро са укрућењима</t>
  </si>
  <si>
    <r>
      <t>λ</t>
    </r>
    <r>
      <rPr>
        <sz val="8.8000000000000007"/>
        <color theme="1"/>
        <rFont val="Calibri"/>
        <family val="2"/>
      </rPr>
      <t xml:space="preserve">w* = </t>
    </r>
    <r>
      <rPr>
        <sz val="11"/>
        <color theme="1"/>
        <rFont val="Calibri"/>
        <family val="2"/>
      </rPr>
      <t>0,346</t>
    </r>
    <r>
      <rPr>
        <sz val="8.8000000000000007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x</t>
    </r>
    <r>
      <rPr>
        <sz val="8.8000000000000007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Sd/t x</t>
    </r>
    <r>
      <rPr>
        <sz val="8.8000000000000007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Ѵ(5,34fy/(E x kt) =</t>
    </r>
  </si>
  <si>
    <r>
      <t>kt = 5,34+(2,1*(</t>
    </r>
    <r>
      <rPr>
        <sz val="11"/>
        <color theme="1"/>
        <rFont val="Calibri"/>
        <family val="2"/>
      </rPr>
      <t>ΣJs/sd)</t>
    </r>
    <r>
      <rPr>
        <vertAlign val="superscript"/>
        <sz val="11"/>
        <color theme="1"/>
        <rFont val="Calibri"/>
        <family val="2"/>
      </rPr>
      <t>1/3)/t</t>
    </r>
  </si>
  <si>
    <t>Sp =</t>
  </si>
  <si>
    <r>
      <t>λ</t>
    </r>
    <r>
      <rPr>
        <sz val="8.8000000000000007"/>
        <color theme="1"/>
        <rFont val="Calibri"/>
        <family val="2"/>
      </rPr>
      <t xml:space="preserve">w* = </t>
    </r>
    <r>
      <rPr>
        <sz val="11"/>
        <color theme="1"/>
        <rFont val="Calibri"/>
        <family val="2"/>
      </rPr>
      <t/>
    </r>
  </si>
  <si>
    <r>
      <t xml:space="preserve">али  λw* &gt;=  0,346Sp/t </t>
    </r>
    <r>
      <rPr>
        <sz val="11"/>
        <color theme="1"/>
        <rFont val="Calibri"/>
        <family val="2"/>
      </rPr>
      <t>Ѵfy/E</t>
    </r>
  </si>
  <si>
    <r>
      <t>fbv= 0,67*fyb/</t>
    </r>
    <r>
      <rPr>
        <sz val="11"/>
        <color theme="1"/>
        <rFont val="Calibri"/>
        <family val="2"/>
      </rPr>
      <t>λ</t>
    </r>
    <r>
      <rPr>
        <sz val="8.8000000000000007"/>
        <color theme="1"/>
        <rFont val="Calibri"/>
        <family val="2"/>
        <charset val="238"/>
      </rPr>
      <t>w*</t>
    </r>
    <r>
      <rPr>
        <vertAlign val="superscript"/>
        <sz val="8.8000000000000007"/>
        <color theme="1"/>
        <rFont val="Calibri"/>
        <family val="2"/>
      </rPr>
      <t xml:space="preserve">2 </t>
    </r>
    <r>
      <rPr>
        <sz val="8.8000000000000007"/>
        <color theme="1"/>
        <rFont val="Calibri"/>
        <family val="2"/>
      </rPr>
      <t>=</t>
    </r>
  </si>
  <si>
    <r>
      <rPr>
        <sz val="10"/>
        <color theme="1"/>
        <rFont val="Calibri"/>
        <family val="2"/>
        <scheme val="minor"/>
      </rPr>
      <t>hw/sin</t>
    </r>
    <r>
      <rPr>
        <sz val="10"/>
        <color theme="1"/>
        <rFont val="Calibri"/>
        <family val="2"/>
      </rPr>
      <t>ϕ x t x fbv/γ</t>
    </r>
    <r>
      <rPr>
        <vertAlign val="subscript"/>
        <sz val="10"/>
        <color theme="1"/>
        <rFont val="Calibri"/>
        <family val="2"/>
        <scheme val="minor"/>
      </rPr>
      <t xml:space="preserve">M1 </t>
    </r>
    <r>
      <rPr>
        <sz val="10"/>
        <color theme="1"/>
        <rFont val="Calibri"/>
        <family val="2"/>
      </rPr>
      <t>=</t>
    </r>
  </si>
  <si>
    <t>Ребро без укрућења</t>
  </si>
  <si>
    <r>
      <t>Js1 =t x Vsa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/12 =</t>
    </r>
  </si>
  <si>
    <t>Vsa=</t>
  </si>
  <si>
    <t>Sd = 30,53+9,64+57,06 =</t>
  </si>
  <si>
    <t>ГРАНИЧНО СТАЊЕ УПОТРЕБЉИВОСТИ   УГИБ</t>
  </si>
  <si>
    <t>Максимални  притисак је у горњој ножици и претпоставља се да је :</t>
  </si>
  <si>
    <r>
      <t>σ</t>
    </r>
    <r>
      <rPr>
        <vertAlign val="subscript"/>
        <sz val="8.8000000000000007"/>
        <color theme="1"/>
        <rFont val="Calibri"/>
        <family val="2"/>
      </rPr>
      <t xml:space="preserve">com,Ed,ser </t>
    </r>
    <r>
      <rPr>
        <sz val="8.8000000000000007"/>
        <color theme="1"/>
        <rFont val="Calibri"/>
        <family val="2"/>
      </rPr>
      <t>=</t>
    </r>
    <r>
      <rPr>
        <sz val="11"/>
        <color theme="1"/>
        <rFont val="Calibri"/>
        <family val="2"/>
      </rPr>
      <t xml:space="preserve"> fy/1,5 =</t>
    </r>
  </si>
  <si>
    <r>
      <t>k</t>
    </r>
    <r>
      <rPr>
        <sz val="11"/>
        <color theme="1"/>
        <rFont val="Calibri"/>
        <family val="2"/>
      </rPr>
      <t>σ</t>
    </r>
    <r>
      <rPr>
        <sz val="8.8000000000000007"/>
        <color theme="1"/>
        <rFont val="Calibri"/>
        <family val="2"/>
        <charset val="238"/>
      </rPr>
      <t xml:space="preserve"> = </t>
    </r>
  </si>
  <si>
    <t>Позитиван положај</t>
  </si>
  <si>
    <t>Закључак:</t>
  </si>
  <si>
    <t>Нема редукције притиснуте ножице за + положај. Раније утврђено да нема редукције</t>
  </si>
  <si>
    <t>ножице за - положај. Не врши се редукција притиснутих делова ребара због поједностављења.</t>
  </si>
  <si>
    <t>За прорачун угиба усваја се бруто пресек.</t>
  </si>
  <si>
    <t>ec +</t>
  </si>
  <si>
    <t>Ј+</t>
  </si>
  <si>
    <t>W+</t>
  </si>
  <si>
    <t>ec -</t>
  </si>
  <si>
    <t>W-</t>
  </si>
  <si>
    <t>контрола</t>
  </si>
  <si>
    <t>ec+ + ec- = hw</t>
  </si>
  <si>
    <t>За прорачун угиба узимају се стварни утицаји са силама без коефицијената.</t>
  </si>
  <si>
    <t>Притиснута широка ножица, контрола bp2 (најшире)</t>
  </si>
  <si>
    <t>mm4/m</t>
  </si>
  <si>
    <t>bp2=</t>
  </si>
  <si>
    <t>beff ≈bp2 па нећемо  редуковати притиснуту ножицу.</t>
  </si>
  <si>
    <t>Разлика у тежишту је ec,bruto= 29,42 mm, задња са редукцијом ec= 53,53 mm</t>
  </si>
  <si>
    <t>29,42+53,53 = 82,95  а треба да буде h= 82,5 mm.</t>
  </si>
  <si>
    <t>J</t>
  </si>
  <si>
    <t>u1</t>
  </si>
  <si>
    <t>u2</t>
  </si>
  <si>
    <t>u3</t>
  </si>
  <si>
    <t>u4</t>
  </si>
  <si>
    <t>u5</t>
  </si>
  <si>
    <t>у пољу</t>
  </si>
  <si>
    <t>ec+</t>
  </si>
  <si>
    <t>ec-</t>
  </si>
  <si>
    <r>
      <t>λ*</t>
    </r>
    <r>
      <rPr>
        <sz val="9.9"/>
        <color theme="1"/>
        <rFont val="Calibri"/>
        <family val="2"/>
      </rPr>
      <t>=( bp2/t )/(28.4 ε √kσ) =</t>
    </r>
  </si>
  <si>
    <t>bp2,eff= ρ x bp2 =</t>
  </si>
  <si>
    <t>bp2,e1 = bp2,e2 = 0.5 bp2,eff =</t>
  </si>
  <si>
    <t xml:space="preserve">узети </t>
  </si>
  <si>
    <r>
      <t xml:space="preserve">bs =2* </t>
    </r>
    <r>
      <rPr>
        <sz val="11"/>
        <color theme="1"/>
        <rFont val="Calibri"/>
        <family val="2"/>
      </rPr>
      <t>Ѵ(br/2²</t>
    </r>
    <r>
      <rPr>
        <sz val="11"/>
        <color theme="1"/>
        <rFont val="Calibri"/>
        <family val="2"/>
        <charset val="238"/>
        <scheme val="minor"/>
      </rPr>
      <t xml:space="preserve"> + hbr</t>
    </r>
    <r>
      <rPr>
        <sz val="11"/>
        <color theme="1"/>
        <rFont val="Calibri"/>
        <family val="2"/>
      </rPr>
      <t>²) =</t>
    </r>
  </si>
  <si>
    <t>Ефективне ширине за унутрашње делове (ребра за укрућење)</t>
  </si>
  <si>
    <t>be2=</t>
  </si>
  <si>
    <t>be1=</t>
  </si>
  <si>
    <t>br,eff-be1 =</t>
  </si>
  <si>
    <t>0.4ρ x b' =</t>
  </si>
  <si>
    <r>
      <t>0.5</t>
    </r>
    <r>
      <rPr>
        <sz val="11"/>
        <color theme="1"/>
        <rFont val="Calibri"/>
        <family val="2"/>
      </rPr>
      <t>ρ x beff =</t>
    </r>
  </si>
  <si>
    <r>
      <t>2 x</t>
    </r>
    <r>
      <rPr>
        <sz val="11"/>
        <color theme="1"/>
        <rFont val="Calibri"/>
        <family val="2"/>
      </rPr>
      <t>ρxbeff/(5-ψ) =</t>
    </r>
  </si>
  <si>
    <t>L5 = 2*bp1eff + bp2eff + bs =</t>
  </si>
  <si>
    <t>за Ss,а/t=</t>
  </si>
  <si>
    <t>Ss/t&lt;60</t>
  </si>
  <si>
    <r>
      <t>k3*k4*k5* (14,7-(hw/t)/49,5)*(1+0,007*Ss/t)*t</t>
    </r>
    <r>
      <rPr>
        <sz val="10"/>
        <color theme="1"/>
        <rFont val="Calibri"/>
        <family val="2"/>
      </rPr>
      <t>²*fyb /γ</t>
    </r>
    <r>
      <rPr>
        <sz val="10"/>
        <color theme="1"/>
        <rFont val="Calibri"/>
        <family val="2"/>
        <scheme val="minor"/>
      </rPr>
      <t>m1/1000 =</t>
    </r>
  </si>
  <si>
    <t>Ss/t&gt;60</t>
  </si>
  <si>
    <r>
      <t>k3*k4*k5* (14,7-(hw/t)/49,5)*(0,75+0,011*Ss/t)*t</t>
    </r>
    <r>
      <rPr>
        <sz val="10"/>
        <color theme="1"/>
        <rFont val="Calibri"/>
        <family val="2"/>
        <charset val="238"/>
      </rPr>
      <t>²*fyb/γ</t>
    </r>
    <r>
      <rPr>
        <sz val="10"/>
        <color theme="1"/>
        <rFont val="Calibri"/>
        <family val="2"/>
        <charset val="238"/>
        <scheme val="minor"/>
      </rPr>
      <t>m1/1000 =</t>
    </r>
  </si>
  <si>
    <t>Усвојено</t>
  </si>
  <si>
    <t>за Ss,u/t=</t>
  </si>
  <si>
    <t>Sd = укупна дужина ребра</t>
  </si>
  <si>
    <t>Sp = најдужи прави део у ребру</t>
  </si>
  <si>
    <r>
      <t>kt= 5,34 + 2,1/t *</t>
    </r>
    <r>
      <rPr>
        <sz val="11"/>
        <color theme="1"/>
        <rFont val="Calibri"/>
        <family val="2"/>
        <scheme val="minor"/>
      </rPr>
      <t xml:space="preserve"> (</t>
    </r>
    <r>
      <rPr>
        <sz val="11"/>
        <color theme="1"/>
        <rFont val="Calibri"/>
        <family val="2"/>
      </rPr>
      <t>ΣJs/Sd)</t>
    </r>
    <r>
      <rPr>
        <vertAlign val="superscript"/>
        <sz val="11"/>
        <color theme="1"/>
        <rFont val="Calibri"/>
        <family val="2"/>
        <scheme val="minor"/>
      </rPr>
      <t xml:space="preserve">1/3 </t>
    </r>
    <r>
      <rPr>
        <sz val="11"/>
        <color theme="1"/>
        <rFont val="Calibri"/>
        <family val="2"/>
        <scheme val="minor"/>
      </rPr>
      <t>=</t>
    </r>
  </si>
  <si>
    <t>ТР ЛИМ 83/300</t>
  </si>
  <si>
    <t>Максимално променљиво оптерећење</t>
  </si>
  <si>
    <t>Мd+  и Мmаx</t>
  </si>
  <si>
    <t>Мd-  и Мmin</t>
  </si>
  <si>
    <t>Упоређујемо</t>
  </si>
  <si>
    <t>p+</t>
  </si>
  <si>
    <t>p-</t>
  </si>
  <si>
    <t>k</t>
  </si>
  <si>
    <r>
      <t>γmo</t>
    </r>
    <r>
      <rPr>
        <sz val="8.8000000000000007"/>
        <color theme="1"/>
        <rFont val="Calibri"/>
        <family val="2"/>
        <charset val="238"/>
      </rPr>
      <t xml:space="preserve"> =</t>
    </r>
  </si>
  <si>
    <r>
      <t>Mcrd = Wef * fy /</t>
    </r>
    <r>
      <rPr>
        <sz val="11"/>
        <color theme="1"/>
        <rFont val="Calibri"/>
        <family val="2"/>
      </rPr>
      <t>γ</t>
    </r>
    <r>
      <rPr>
        <sz val="8.8000000000000007"/>
        <color theme="1"/>
        <rFont val="Calibri"/>
        <family val="2"/>
        <charset val="238"/>
      </rPr>
      <t>mo</t>
    </r>
  </si>
  <si>
    <r>
      <t>M = Md /</t>
    </r>
    <r>
      <rPr>
        <sz val="11"/>
        <color theme="1"/>
        <rFont val="Calibri"/>
        <family val="2"/>
      </rPr>
      <t>γmo</t>
    </r>
  </si>
  <si>
    <t>M = (1,35 Mg + 1,5 Mp)</t>
  </si>
  <si>
    <r>
      <t>Mp = (Md/</t>
    </r>
    <r>
      <rPr>
        <sz val="11"/>
        <color theme="1"/>
        <rFont val="Calibri"/>
        <family val="2"/>
      </rPr>
      <t>γ</t>
    </r>
    <r>
      <rPr>
        <sz val="11"/>
        <color theme="1"/>
        <rFont val="Calibri"/>
        <family val="2"/>
        <charset val="238"/>
        <scheme val="minor"/>
      </rPr>
      <t xml:space="preserve"> - 1,35 Mq) /1,5</t>
    </r>
  </si>
  <si>
    <t>Qmax</t>
  </si>
  <si>
    <t>Qmin</t>
  </si>
  <si>
    <r>
      <t>Q = Md/(</t>
    </r>
    <r>
      <rPr>
        <sz val="11"/>
        <color theme="1"/>
        <rFont val="Calibri"/>
        <family val="2"/>
      </rPr>
      <t>γ</t>
    </r>
    <r>
      <rPr>
        <sz val="11"/>
        <color theme="1"/>
        <rFont val="Calibri"/>
        <family val="2"/>
        <charset val="238"/>
        <scheme val="minor"/>
      </rPr>
      <t xml:space="preserve">* k*L2)  </t>
    </r>
  </si>
  <si>
    <t>p usv</t>
  </si>
  <si>
    <t>Max P према допуштеним моментима</t>
  </si>
  <si>
    <t>Угиб</t>
  </si>
  <si>
    <t>K</t>
  </si>
  <si>
    <t>Q</t>
  </si>
  <si>
    <t>Qu = EJ/X*k*L3 =</t>
  </si>
  <si>
    <t>kg/m2</t>
  </si>
  <si>
    <t>L/</t>
  </si>
  <si>
    <t>Утицаји у греди од Qu</t>
  </si>
  <si>
    <t>Qu=1,35q =</t>
  </si>
  <si>
    <t>Rumax,g+Rumax,p</t>
  </si>
  <si>
    <t xml:space="preserve">  </t>
  </si>
  <si>
    <t>Ru,p + Ru,g</t>
  </si>
  <si>
    <t>Ru,p = Vr,d - Ru,g =</t>
  </si>
  <si>
    <t>p</t>
  </si>
  <si>
    <t>Ru, g</t>
  </si>
  <si>
    <r>
      <t>R</t>
    </r>
    <r>
      <rPr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charset val="238"/>
        <scheme val="minor"/>
      </rPr>
      <t>, g</t>
    </r>
  </si>
  <si>
    <t>Ru,p</t>
  </si>
  <si>
    <r>
      <t>R</t>
    </r>
    <r>
      <rPr>
        <sz val="9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charset val="238"/>
        <scheme val="minor"/>
      </rPr>
      <t>,p</t>
    </r>
  </si>
  <si>
    <t>pu</t>
  </si>
  <si>
    <r>
      <t>p</t>
    </r>
    <r>
      <rPr>
        <sz val="9"/>
        <color theme="1"/>
        <rFont val="Calibri"/>
        <family val="2"/>
        <scheme val="minor"/>
      </rPr>
      <t>A</t>
    </r>
  </si>
  <si>
    <t xml:space="preserve"> p =</t>
  </si>
  <si>
    <t>Тражимо p за познато bA и bu</t>
  </si>
  <si>
    <t>kg</t>
  </si>
  <si>
    <t>Qu = 1,35q+1,5p =</t>
  </si>
  <si>
    <t>k,u</t>
  </si>
  <si>
    <r>
      <t>k,</t>
    </r>
    <r>
      <rPr>
        <sz val="9"/>
        <color theme="1"/>
        <rFont val="Calibri"/>
        <family val="2"/>
        <scheme val="minor"/>
      </rPr>
      <t>A</t>
    </r>
  </si>
  <si>
    <t>SsA=</t>
  </si>
  <si>
    <r>
      <t xml:space="preserve">h </t>
    </r>
    <r>
      <rPr>
        <sz val="9"/>
        <color theme="1"/>
        <rFont val="Calibri"/>
        <family val="2"/>
        <scheme val="minor"/>
      </rPr>
      <t>(mm)</t>
    </r>
    <r>
      <rPr>
        <sz val="11"/>
        <color theme="1"/>
        <rFont val="Calibri"/>
        <family val="2"/>
        <charset val="238"/>
        <scheme val="minor"/>
      </rPr>
      <t>=</t>
    </r>
  </si>
  <si>
    <r>
      <t>bd</t>
    </r>
    <r>
      <rPr>
        <sz val="9"/>
        <color theme="1"/>
        <rFont val="Calibri"/>
        <family val="2"/>
        <scheme val="minor"/>
      </rPr>
      <t>(mm)</t>
    </r>
    <r>
      <rPr>
        <sz val="11"/>
        <color theme="1"/>
        <rFont val="Calibri"/>
        <family val="2"/>
        <charset val="238"/>
        <scheme val="minor"/>
      </rPr>
      <t>=</t>
    </r>
  </si>
  <si>
    <r>
      <t xml:space="preserve">bu </t>
    </r>
    <r>
      <rPr>
        <sz val="9"/>
        <color theme="1"/>
        <rFont val="Calibri"/>
        <family val="2"/>
        <scheme val="minor"/>
      </rPr>
      <t>(mm)</t>
    </r>
    <r>
      <rPr>
        <sz val="11"/>
        <color theme="1"/>
        <rFont val="Calibri"/>
        <family val="2"/>
        <charset val="238"/>
        <scheme val="minor"/>
      </rPr>
      <t>=</t>
    </r>
  </si>
  <si>
    <r>
      <t>b</t>
    </r>
    <r>
      <rPr>
        <sz val="9"/>
        <color theme="1"/>
        <rFont val="Calibri"/>
        <family val="2"/>
        <scheme val="minor"/>
      </rPr>
      <t>(mm)</t>
    </r>
    <r>
      <rPr>
        <sz val="11"/>
        <color theme="1"/>
        <rFont val="Calibri"/>
        <family val="2"/>
        <charset val="238"/>
        <scheme val="minor"/>
      </rPr>
      <t>=</t>
    </r>
  </si>
  <si>
    <r>
      <t>b</t>
    </r>
    <r>
      <rPr>
        <sz val="9"/>
        <color theme="1"/>
        <rFont val="Calibri"/>
        <family val="2"/>
        <scheme val="minor"/>
      </rPr>
      <t>ha</t>
    </r>
    <r>
      <rPr>
        <sz val="11"/>
        <color theme="1"/>
        <rFont val="Calibri"/>
        <family val="2"/>
        <charset val="238"/>
        <scheme val="minor"/>
      </rPr>
      <t>(mm)=</t>
    </r>
  </si>
  <si>
    <r>
      <t>r</t>
    </r>
    <r>
      <rPr>
        <sz val="9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sz val="9"/>
        <color theme="1"/>
        <rFont val="Calibri"/>
        <family val="2"/>
        <scheme val="minor"/>
      </rPr>
      <t>(mm)</t>
    </r>
    <r>
      <rPr>
        <sz val="11"/>
        <color theme="1"/>
        <rFont val="Calibri"/>
        <family val="2"/>
        <charset val="238"/>
        <scheme val="minor"/>
      </rPr>
      <t>=</t>
    </r>
  </si>
  <si>
    <r>
      <t xml:space="preserve">ℓ </t>
    </r>
    <r>
      <rPr>
        <sz val="9"/>
        <color theme="1"/>
        <rFont val="Calibri"/>
        <family val="2"/>
        <scheme val="minor"/>
      </rPr>
      <t>(rad)</t>
    </r>
    <r>
      <rPr>
        <sz val="9.9"/>
        <color theme="1"/>
        <rFont val="Calibri"/>
        <family val="2"/>
        <scheme val="minor"/>
      </rPr>
      <t>=</t>
    </r>
  </si>
  <si>
    <r>
      <t>hw</t>
    </r>
    <r>
      <rPr>
        <sz val="9"/>
        <color theme="1"/>
        <rFont val="Calibri"/>
        <family val="2"/>
        <scheme val="minor"/>
      </rPr>
      <t>(mm)</t>
    </r>
    <r>
      <rPr>
        <sz val="11"/>
        <color theme="1"/>
        <rFont val="Calibri"/>
        <family val="2"/>
        <charset val="238"/>
        <scheme val="minor"/>
      </rPr>
      <t>=</t>
    </r>
  </si>
  <si>
    <r>
      <t>hb</t>
    </r>
    <r>
      <rPr>
        <sz val="9"/>
        <color theme="1"/>
        <rFont val="Calibri"/>
        <family val="2"/>
        <scheme val="minor"/>
      </rPr>
      <t>(mm)</t>
    </r>
    <r>
      <rPr>
        <sz val="11"/>
        <color theme="1"/>
        <rFont val="Calibri"/>
        <family val="2"/>
        <charset val="238"/>
        <scheme val="minor"/>
      </rPr>
      <t>=</t>
    </r>
  </si>
  <si>
    <t>за крајњи ослонац са укрућеним ножицама и с &lt; 1,5 hw</t>
  </si>
  <si>
    <t>За средњи ослонац  и с&gt;1,5 hw и Ss/t&gt;60</t>
  </si>
  <si>
    <t>Ssu=</t>
  </si>
  <si>
    <t>Po EN</t>
  </si>
  <si>
    <r>
      <t>p,</t>
    </r>
    <r>
      <rPr>
        <sz val="8"/>
        <color theme="1"/>
        <rFont val="Calibri"/>
        <family val="2"/>
        <scheme val="minor"/>
      </rPr>
      <t>Mmax</t>
    </r>
    <r>
      <rPr>
        <sz val="11"/>
        <color theme="1"/>
        <rFont val="Calibri"/>
        <family val="2"/>
        <charset val="238"/>
        <scheme val="minor"/>
      </rPr>
      <t xml:space="preserve"> =</t>
    </r>
  </si>
  <si>
    <t>Тражимо  bA и bu  за p познато као max од момента</t>
  </si>
  <si>
    <t>за 1 ребро</t>
  </si>
  <si>
    <r>
      <t xml:space="preserve">SsA= </t>
    </r>
    <r>
      <rPr>
        <sz val="10"/>
        <color theme="1"/>
        <rFont val="Calibri"/>
        <family val="2"/>
        <scheme val="minor"/>
      </rPr>
      <t>(Rw*</t>
    </r>
    <r>
      <rPr>
        <sz val="10"/>
        <color theme="1"/>
        <rFont val="Calibri"/>
        <family val="2"/>
      </rPr>
      <t>γ/(k1*k2*k3*(9,04-hw/t/60)*t</t>
    </r>
    <r>
      <rPr>
        <vertAlign val="superscript"/>
        <sz val="10"/>
        <color theme="1"/>
        <rFont val="Calibri"/>
        <family val="2"/>
      </rPr>
      <t>2</t>
    </r>
    <r>
      <rPr>
        <sz val="10"/>
        <color theme="1"/>
        <rFont val="Calibri"/>
        <family val="2"/>
      </rPr>
      <t>*fyb/1000)-1)*t/0,01</t>
    </r>
  </si>
  <si>
    <t>за крајњи ослонац са неукрућ. ножицама и Ss/t&gt;60</t>
  </si>
  <si>
    <r>
      <t xml:space="preserve">SsA= </t>
    </r>
    <r>
      <rPr>
        <sz val="9"/>
        <color theme="1"/>
        <rFont val="Calibri"/>
        <family val="2"/>
        <scheme val="minor"/>
      </rPr>
      <t>(Rw*</t>
    </r>
    <r>
      <rPr>
        <sz val="9"/>
        <color theme="1"/>
        <rFont val="Calibri"/>
        <family val="2"/>
      </rPr>
      <t>γ/(k1*k2*k3*(5,92-hw/t/132)*t</t>
    </r>
    <r>
      <rPr>
        <vertAlign val="superscript"/>
        <sz val="9"/>
        <color theme="1"/>
        <rFont val="Calibri"/>
        <family val="2"/>
      </rPr>
      <t>2</t>
    </r>
    <r>
      <rPr>
        <sz val="9"/>
        <color theme="1"/>
        <rFont val="Calibri"/>
        <family val="2"/>
      </rPr>
      <t>*fyb/1000)-0,71)*t/0,015</t>
    </r>
  </si>
  <si>
    <r>
      <t xml:space="preserve">Ssu= </t>
    </r>
    <r>
      <rPr>
        <sz val="9"/>
        <color theme="1"/>
        <rFont val="Calibri"/>
        <family val="2"/>
        <scheme val="minor"/>
      </rPr>
      <t>(Rw*</t>
    </r>
    <r>
      <rPr>
        <sz val="9"/>
        <color theme="1"/>
        <rFont val="Calibri"/>
        <family val="2"/>
      </rPr>
      <t>γ/(k3*k4*k5*(14,7-hw/t/49,5)*t</t>
    </r>
    <r>
      <rPr>
        <vertAlign val="superscript"/>
        <sz val="9"/>
        <color theme="1"/>
        <rFont val="Calibri"/>
        <family val="2"/>
      </rPr>
      <t>2</t>
    </r>
    <r>
      <rPr>
        <sz val="9"/>
        <color theme="1"/>
        <rFont val="Calibri"/>
        <family val="2"/>
      </rPr>
      <t>*fyb/1000)-0,75)*t/0,011</t>
    </r>
  </si>
  <si>
    <t>За ТР лимове</t>
  </si>
  <si>
    <r>
      <t xml:space="preserve">Rwrd= </t>
    </r>
    <r>
      <rPr>
        <sz val="11"/>
        <rFont val="Calibri"/>
        <family val="2"/>
        <charset val="238"/>
      </rPr>
      <t>αt</t>
    </r>
    <r>
      <rPr>
        <vertAlign val="superscript"/>
        <sz val="11"/>
        <rFont val="Calibri"/>
        <family val="2"/>
        <charset val="238"/>
      </rPr>
      <t>2</t>
    </r>
    <r>
      <rPr>
        <sz val="11"/>
        <rFont val="Calibri"/>
        <family val="2"/>
        <charset val="238"/>
      </rPr>
      <t xml:space="preserve"> * Ѵ</t>
    </r>
    <r>
      <rPr>
        <sz val="11"/>
        <rFont val="Calibri"/>
        <family val="2"/>
        <charset val="238"/>
        <scheme val="minor"/>
      </rPr>
      <t>(fyb * E)*(1-0,1</t>
    </r>
    <r>
      <rPr>
        <sz val="11"/>
        <rFont val="Calibri"/>
        <family val="2"/>
        <charset val="238"/>
      </rPr>
      <t>Ѵ</t>
    </r>
    <r>
      <rPr>
        <sz val="8.8000000000000007"/>
        <rFont val="Calibri"/>
        <family val="2"/>
        <charset val="238"/>
      </rPr>
      <t>(r/t) * (0,5+Ѵ</t>
    </r>
    <r>
      <rPr>
        <sz val="11"/>
        <rFont val="Calibri"/>
        <family val="2"/>
        <charset val="238"/>
      </rPr>
      <t>(0,02*La/t) * (2,4+(ϕ</t>
    </r>
    <r>
      <rPr>
        <sz val="11"/>
        <rFont val="Calibri"/>
        <family val="2"/>
        <charset val="238"/>
        <scheme val="minor"/>
      </rPr>
      <t>/90)</t>
    </r>
    <r>
      <rPr>
        <vertAlign val="superscript"/>
        <sz val="11"/>
        <rFont val="Calibri"/>
        <family val="2"/>
        <charset val="238"/>
        <scheme val="minor"/>
      </rPr>
      <t xml:space="preserve">2 </t>
    </r>
    <r>
      <rPr>
        <sz val="11"/>
        <rFont val="Calibri"/>
        <family val="2"/>
        <charset val="238"/>
        <scheme val="minor"/>
      </rPr>
      <t>/</t>
    </r>
    <r>
      <rPr>
        <sz val="11"/>
        <rFont val="Calibri"/>
        <family val="2"/>
        <charset val="238"/>
      </rPr>
      <t>γ</t>
    </r>
    <r>
      <rPr>
        <sz val="8.8000000000000007"/>
        <rFont val="Calibri"/>
        <family val="2"/>
        <charset val="238"/>
      </rPr>
      <t>m1</t>
    </r>
  </si>
  <si>
    <r>
      <rPr>
        <sz val="11"/>
        <rFont val="Calibri"/>
        <family val="2"/>
        <charset val="238"/>
      </rPr>
      <t>Ѵ(0,02La/t)</t>
    </r>
    <r>
      <rPr>
        <sz val="8.8000000000000007"/>
        <rFont val="Calibri"/>
        <family val="2"/>
        <charset val="238"/>
      </rPr>
      <t>=</t>
    </r>
    <r>
      <rPr>
        <sz val="11"/>
        <rFont val="Calibri"/>
        <family val="2"/>
        <charset val="238"/>
        <scheme val="minor"/>
      </rPr>
      <t xml:space="preserve"> (R1*γm1/( </t>
    </r>
    <r>
      <rPr>
        <sz val="11"/>
        <rFont val="Calibri"/>
        <family val="2"/>
        <charset val="238"/>
      </rPr>
      <t>αt</t>
    </r>
    <r>
      <rPr>
        <vertAlign val="superscript"/>
        <sz val="11"/>
        <rFont val="Calibri"/>
        <family val="2"/>
        <charset val="238"/>
      </rPr>
      <t>2</t>
    </r>
    <r>
      <rPr>
        <sz val="11"/>
        <rFont val="Calibri"/>
        <family val="2"/>
        <charset val="238"/>
      </rPr>
      <t xml:space="preserve"> * Ѵ</t>
    </r>
    <r>
      <rPr>
        <sz val="11"/>
        <rFont val="Calibri"/>
        <family val="2"/>
        <charset val="238"/>
        <scheme val="minor"/>
      </rPr>
      <t>(fyb * E)*(1-0,1</t>
    </r>
    <r>
      <rPr>
        <sz val="11"/>
        <rFont val="Calibri"/>
        <family val="2"/>
        <charset val="238"/>
      </rPr>
      <t>Ѵ(r/t)</t>
    </r>
    <r>
      <rPr>
        <sz val="8.8000000000000007"/>
        <rFont val="Calibri"/>
        <family val="2"/>
        <charset val="238"/>
      </rPr>
      <t xml:space="preserve"> * </t>
    </r>
    <r>
      <rPr>
        <sz val="11"/>
        <rFont val="Calibri"/>
        <family val="2"/>
        <charset val="238"/>
      </rPr>
      <t xml:space="preserve"> (2,4+(ϕ</t>
    </r>
    <r>
      <rPr>
        <sz val="11"/>
        <rFont val="Calibri"/>
        <family val="2"/>
        <charset val="238"/>
        <scheme val="minor"/>
      </rPr>
      <t>/90)</t>
    </r>
    <r>
      <rPr>
        <vertAlign val="superscript"/>
        <sz val="11"/>
        <rFont val="Calibri"/>
        <family val="2"/>
        <charset val="238"/>
        <scheme val="minor"/>
      </rPr>
      <t>2</t>
    </r>
    <r>
      <rPr>
        <sz val="11"/>
        <rFont val="Calibri"/>
        <family val="2"/>
        <charset val="238"/>
        <scheme val="minor"/>
      </rPr>
      <t>)))-0,5=</t>
    </r>
  </si>
  <si>
    <t>за крајњи ослонац са  Ss/t&gt;60</t>
  </si>
  <si>
    <r>
      <t>α</t>
    </r>
    <r>
      <rPr>
        <sz val="8.8000000000000007"/>
        <rFont val="Calibri"/>
        <family val="2"/>
        <charset val="238"/>
      </rPr>
      <t>i</t>
    </r>
    <r>
      <rPr>
        <sz val="11"/>
        <rFont val="Calibri"/>
        <family val="2"/>
        <charset val="238"/>
      </rPr>
      <t xml:space="preserve"> =</t>
    </r>
  </si>
  <si>
    <r>
      <rPr>
        <sz val="11"/>
        <rFont val="Calibri"/>
        <family val="2"/>
        <charset val="238"/>
      </rPr>
      <t>Ѵ(0,02La/t)</t>
    </r>
    <r>
      <rPr>
        <sz val="8.8000000000000007"/>
        <rFont val="Calibri"/>
        <family val="2"/>
        <charset val="238"/>
      </rPr>
      <t>=</t>
    </r>
    <r>
      <rPr>
        <sz val="11"/>
        <color theme="1"/>
        <rFont val="Calibri"/>
        <family val="2"/>
        <charset val="238"/>
        <scheme val="minor"/>
      </rPr>
      <t/>
    </r>
  </si>
  <si>
    <t>La=</t>
  </si>
  <si>
    <r>
      <t xml:space="preserve">Rwrd= </t>
    </r>
    <r>
      <rPr>
        <sz val="11"/>
        <rFont val="Calibri"/>
        <family val="2"/>
        <charset val="238"/>
      </rPr>
      <t/>
    </r>
  </si>
  <si>
    <t>2*R1wrd *1000/ bd</t>
  </si>
  <si>
    <t>RA =</t>
  </si>
  <si>
    <t>bA =</t>
  </si>
  <si>
    <t>Ru =</t>
  </si>
  <si>
    <t>bu =</t>
  </si>
  <si>
    <t>pu, max</t>
  </si>
  <si>
    <r>
      <t>p</t>
    </r>
    <r>
      <rPr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charset val="238"/>
        <scheme val="minor"/>
      </rPr>
      <t>, max</t>
    </r>
  </si>
  <si>
    <r>
      <t>α</t>
    </r>
    <r>
      <rPr>
        <sz val="8.8000000000000007"/>
        <rFont val="Calibri"/>
        <family val="2"/>
        <charset val="238"/>
      </rPr>
      <t>iA</t>
    </r>
    <r>
      <rPr>
        <sz val="11"/>
        <rFont val="Calibri"/>
        <family val="2"/>
        <charset val="238"/>
      </rPr>
      <t xml:space="preserve"> =</t>
    </r>
  </si>
  <si>
    <r>
      <t>α</t>
    </r>
    <r>
      <rPr>
        <sz val="8.8000000000000007"/>
        <rFont val="Calibri"/>
        <family val="2"/>
        <charset val="238"/>
      </rPr>
      <t>iu</t>
    </r>
    <r>
      <rPr>
        <sz val="11"/>
        <rFont val="Calibri"/>
        <family val="2"/>
        <charset val="238"/>
      </rPr>
      <t xml:space="preserve"> =</t>
    </r>
  </si>
  <si>
    <r>
      <rPr>
        <sz val="11"/>
        <color theme="1"/>
        <rFont val="Calibri"/>
        <family val="2"/>
      </rPr>
      <t>γ</t>
    </r>
    <r>
      <rPr>
        <sz val="8.8000000000000007"/>
        <color theme="1"/>
        <rFont val="Calibri"/>
        <family val="2"/>
        <charset val="238"/>
      </rPr>
      <t xml:space="preserve"> =</t>
    </r>
  </si>
  <si>
    <t>kg/m</t>
  </si>
  <si>
    <t>b =</t>
  </si>
  <si>
    <t>PRORAČUN NOSIVOSTI URAĐEN PO EVROPSKOM STANDARDU EN 1993-1-3</t>
  </si>
  <si>
    <t>Kvalitet čelika:</t>
  </si>
  <si>
    <t>Odaberite debljinu lima:</t>
  </si>
  <si>
    <t>Unesite raspon između rožnjača:</t>
  </si>
  <si>
    <t>Unesite broj polja:</t>
  </si>
  <si>
    <t>Unesite stalno opterećenje ukoliko postoji:</t>
  </si>
  <si>
    <t>Odaberite maksimalan ugib:</t>
  </si>
  <si>
    <t>Odaberite položaj lima:</t>
  </si>
  <si>
    <t xml:space="preserve">Nosivost TR lima prema momentima: </t>
  </si>
  <si>
    <t xml:space="preserve">Nosivost TR lima prema ugibima: </t>
  </si>
  <si>
    <t xml:space="preserve">Nosivost TR lima prema smičućim silama: </t>
  </si>
  <si>
    <t>Nosivost na "Crippling" rebra</t>
  </si>
  <si>
    <t xml:space="preserve">za širinu krajnjeg oslonca: </t>
  </si>
  <si>
    <t xml:space="preserve">za širinu unutrašnjeg oslonca: </t>
  </si>
  <si>
    <t>TR LIM 85/300/900</t>
  </si>
  <si>
    <r>
      <t xml:space="preserve">40-200 </t>
    </r>
    <r>
      <rPr>
        <sz val="9"/>
        <color theme="4" tint="-0.249977111117893"/>
        <rFont val="Calibri"/>
        <family val="2"/>
        <scheme val="minor"/>
      </rPr>
      <t>mm</t>
    </r>
  </si>
  <si>
    <r>
      <t xml:space="preserve"> b</t>
    </r>
    <r>
      <rPr>
        <vertAlign val="subscript"/>
        <sz val="11"/>
        <color theme="4" tint="-0.249977111117893"/>
        <rFont val="Calibri"/>
        <family val="2"/>
        <scheme val="minor"/>
      </rPr>
      <t xml:space="preserve">A </t>
    </r>
    <r>
      <rPr>
        <sz val="11"/>
        <color theme="4" tint="-0.249977111117893"/>
        <rFont val="Calibri"/>
        <family val="2"/>
        <scheme val="minor"/>
      </rPr>
      <t>=</t>
    </r>
  </si>
  <si>
    <r>
      <t xml:space="preserve"> b</t>
    </r>
    <r>
      <rPr>
        <vertAlign val="subscript"/>
        <sz val="11"/>
        <color theme="4" tint="-0.249977111117893"/>
        <rFont val="Calibri"/>
        <family val="2"/>
        <scheme val="minor"/>
      </rPr>
      <t xml:space="preserve">u </t>
    </r>
    <r>
      <rPr>
        <sz val="11"/>
        <color theme="4" tint="-0.249977111117893"/>
        <rFont val="Calibri"/>
        <family val="2"/>
        <scheme val="minor"/>
      </rPr>
      <t>=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</si>
</sst>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0.0000"/>
  </numFmts>
  <fonts count="54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"/>
      <name val="Calibri"/>
      <family val="2"/>
    </font>
    <font>
      <sz val="10"/>
      <color theme="1"/>
      <name val="Calibri"/>
      <family val="2"/>
    </font>
    <font>
      <sz val="12"/>
      <color theme="1"/>
      <name val="Calibri"/>
      <family val="2"/>
      <charset val="238"/>
      <scheme val="minor"/>
    </font>
    <font>
      <u/>
      <sz val="11"/>
      <color theme="1"/>
      <name val="Calibri"/>
      <family val="2"/>
      <charset val="238"/>
      <scheme val="minor"/>
    </font>
    <font>
      <sz val="10"/>
      <color rgb="FFFF000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sz val="11"/>
      <color theme="1"/>
      <name val="Calibri"/>
      <family val="2"/>
    </font>
    <font>
      <sz val="8.8000000000000007"/>
      <color theme="1"/>
      <name val="Calibri"/>
      <family val="2"/>
      <charset val="238"/>
    </font>
    <font>
      <sz val="9"/>
      <color theme="1"/>
      <name val="Calibri"/>
      <family val="2"/>
    </font>
    <font>
      <u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8.8000000000000007"/>
      <color theme="1"/>
      <name val="Calibri"/>
      <family val="2"/>
    </font>
    <font>
      <vertAlign val="subscript"/>
      <sz val="8"/>
      <color theme="1"/>
      <name val="Calibri"/>
      <family val="2"/>
      <scheme val="minor"/>
    </font>
    <font>
      <sz val="9.9"/>
      <color theme="1"/>
      <name val="Calibri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8.9"/>
      <color theme="1"/>
      <name val="Calibri"/>
      <family val="2"/>
    </font>
    <font>
      <vertAlign val="subscript"/>
      <sz val="11"/>
      <color theme="1"/>
      <name val="Calibri"/>
      <family val="2"/>
    </font>
    <font>
      <vertAlign val="superscript"/>
      <sz val="11"/>
      <color theme="1"/>
      <name val="Calibri"/>
      <family val="2"/>
    </font>
    <font>
      <u/>
      <sz val="11"/>
      <color rgb="FF00B050"/>
      <name val="Calibri"/>
      <family val="2"/>
      <scheme val="minor"/>
    </font>
    <font>
      <sz val="8"/>
      <color theme="1"/>
      <name val="Calibri"/>
      <family val="2"/>
    </font>
    <font>
      <sz val="11"/>
      <color rgb="FFFF0000"/>
      <name val="Calibri"/>
      <family val="2"/>
      <charset val="238"/>
      <scheme val="minor"/>
    </font>
    <font>
      <sz val="9.9"/>
      <color theme="1"/>
      <name val="Calibri"/>
      <family val="2"/>
      <charset val="238"/>
    </font>
    <font>
      <vertAlign val="superscript"/>
      <sz val="8.8000000000000007"/>
      <color theme="1"/>
      <name val="Calibri"/>
      <family val="2"/>
    </font>
    <font>
      <vertAlign val="subscript"/>
      <sz val="10"/>
      <color theme="1"/>
      <name val="Calibri"/>
      <family val="2"/>
      <scheme val="minor"/>
    </font>
    <font>
      <vertAlign val="subscript"/>
      <sz val="8.8000000000000007"/>
      <color theme="1"/>
      <name val="Calibri"/>
      <family val="2"/>
    </font>
    <font>
      <sz val="9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9.9"/>
      <color theme="1"/>
      <name val="Calibri"/>
      <family val="2"/>
      <scheme val="minor"/>
    </font>
    <font>
      <vertAlign val="superscript"/>
      <sz val="9"/>
      <color theme="1"/>
      <name val="Calibri"/>
      <family val="2"/>
    </font>
    <font>
      <vertAlign val="superscript"/>
      <sz val="10"/>
      <color theme="1"/>
      <name val="Calibri"/>
      <family val="2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</font>
    <font>
      <vertAlign val="superscript"/>
      <sz val="11"/>
      <name val="Calibri"/>
      <family val="2"/>
      <charset val="238"/>
    </font>
    <font>
      <sz val="8.8000000000000007"/>
      <name val="Calibri"/>
      <family val="2"/>
      <charset val="238"/>
    </font>
    <font>
      <vertAlign val="superscript"/>
      <sz val="1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4" tint="-0.249977111117893"/>
      <name val="Calibri"/>
      <family val="2"/>
      <scheme val="minor"/>
    </font>
    <font>
      <b/>
      <sz val="18"/>
      <color theme="4" tint="-0.249977111117893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9"/>
      <color theme="4" tint="-0.249977111117893"/>
      <name val="Calibri"/>
      <family val="2"/>
      <scheme val="minor"/>
    </font>
    <font>
      <vertAlign val="subscript"/>
      <sz val="11"/>
      <color theme="4" tint="-0.249977111117893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248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2" fontId="0" fillId="0" borderId="0" xfId="0" applyNumberFormat="1"/>
    <xf numFmtId="2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2" borderId="0" xfId="0" applyFill="1"/>
    <xf numFmtId="2" fontId="0" fillId="0" borderId="1" xfId="0" applyNumberFormat="1" applyBorder="1" applyAlignment="1">
      <alignment horizontal="center"/>
    </xf>
    <xf numFmtId="0" fontId="6" fillId="0" borderId="0" xfId="1" applyFont="1"/>
    <xf numFmtId="0" fontId="1" fillId="0" borderId="0" xfId="0" applyFont="1"/>
    <xf numFmtId="0" fontId="0" fillId="0" borderId="4" xfId="0" applyBorder="1"/>
    <xf numFmtId="0" fontId="0" fillId="0" borderId="5" xfId="0" applyBorder="1"/>
    <xf numFmtId="0" fontId="0" fillId="0" borderId="2" xfId="0" applyBorder="1"/>
    <xf numFmtId="0" fontId="0" fillId="0" borderId="7" xfId="0" applyBorder="1"/>
    <xf numFmtId="0" fontId="0" fillId="0" borderId="1" xfId="0" applyBorder="1" applyAlignment="1">
      <alignment horizontal="right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8" xfId="0" applyBorder="1"/>
    <xf numFmtId="0" fontId="0" fillId="0" borderId="0" xfId="0" applyBorder="1"/>
    <xf numFmtId="0" fontId="0" fillId="0" borderId="0" xfId="0" applyBorder="1" applyAlignment="1">
      <alignment horizontal="right"/>
    </xf>
    <xf numFmtId="49" fontId="7" fillId="0" borderId="0" xfId="1" applyNumberFormat="1" applyFont="1" applyBorder="1"/>
    <xf numFmtId="0" fontId="1" fillId="0" borderId="0" xfId="0" applyFont="1" applyBorder="1"/>
    <xf numFmtId="11" fontId="0" fillId="0" borderId="0" xfId="0" applyNumberFormat="1" applyBorder="1"/>
    <xf numFmtId="0" fontId="0" fillId="0" borderId="0" xfId="0" applyBorder="1" applyAlignment="1">
      <alignment horizontal="center"/>
    </xf>
    <xf numFmtId="0" fontId="0" fillId="0" borderId="11" xfId="0" applyBorder="1"/>
    <xf numFmtId="2" fontId="0" fillId="0" borderId="0" xfId="0" applyNumberFormat="1" applyBorder="1" applyAlignment="1">
      <alignment horizontal="center"/>
    </xf>
    <xf numFmtId="0" fontId="0" fillId="0" borderId="9" xfId="0" applyBorder="1"/>
    <xf numFmtId="0" fontId="0" fillId="0" borderId="11" xfId="0" applyBorder="1" applyAlignment="1">
      <alignment horizontal="center"/>
    </xf>
    <xf numFmtId="0" fontId="0" fillId="0" borderId="0" xfId="0" applyFill="1" applyBorder="1"/>
    <xf numFmtId="0" fontId="5" fillId="0" borderId="0" xfId="1"/>
    <xf numFmtId="0" fontId="0" fillId="0" borderId="1" xfId="0" applyFill="1" applyBorder="1" applyAlignment="1">
      <alignment horizontal="center"/>
    </xf>
    <xf numFmtId="0" fontId="9" fillId="0" borderId="0" xfId="0" applyFont="1"/>
    <xf numFmtId="0" fontId="0" fillId="2" borderId="0" xfId="0" applyFill="1" applyAlignment="1">
      <alignment horizontal="center"/>
    </xf>
    <xf numFmtId="49" fontId="2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1" fillId="0" borderId="3" xfId="0" applyFont="1" applyBorder="1"/>
    <xf numFmtId="0" fontId="5" fillId="0" borderId="0" xfId="1" applyBorder="1"/>
    <xf numFmtId="0" fontId="10" fillId="0" borderId="12" xfId="1" applyFont="1" applyBorder="1"/>
    <xf numFmtId="0" fontId="0" fillId="0" borderId="13" xfId="0" applyBorder="1"/>
    <xf numFmtId="0" fontId="0" fillId="0" borderId="12" xfId="0" applyBorder="1"/>
    <xf numFmtId="0" fontId="1" fillId="0" borderId="12" xfId="0" applyFont="1" applyBorder="1"/>
    <xf numFmtId="0" fontId="0" fillId="0" borderId="6" xfId="0" applyBorder="1"/>
    <xf numFmtId="2" fontId="0" fillId="0" borderId="1" xfId="0" applyNumberFormat="1" applyBorder="1"/>
    <xf numFmtId="164" fontId="0" fillId="0" borderId="0" xfId="0" applyNumberFormat="1" applyBorder="1"/>
    <xf numFmtId="0" fontId="0" fillId="0" borderId="3" xfId="0" applyBorder="1"/>
    <xf numFmtId="0" fontId="0" fillId="0" borderId="0" xfId="0" applyFill="1" applyBorder="1" applyAlignment="1">
      <alignment horizontal="center"/>
    </xf>
    <xf numFmtId="0" fontId="0" fillId="0" borderId="10" xfId="0" applyBorder="1"/>
    <xf numFmtId="4" fontId="0" fillId="0" borderId="0" xfId="0" applyNumberFormat="1" applyBorder="1"/>
    <xf numFmtId="2" fontId="0" fillId="0" borderId="1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0" fillId="0" borderId="15" xfId="0" applyBorder="1"/>
    <xf numFmtId="4" fontId="0" fillId="0" borderId="0" xfId="0" applyNumberFormat="1" applyBorder="1" applyAlignment="1">
      <alignment horizontal="center"/>
    </xf>
    <xf numFmtId="0" fontId="0" fillId="0" borderId="11" xfId="0" applyFill="1" applyBorder="1"/>
    <xf numFmtId="2" fontId="0" fillId="0" borderId="0" xfId="0" applyNumberFormat="1" applyFill="1" applyBorder="1"/>
    <xf numFmtId="0" fontId="0" fillId="0" borderId="12" xfId="0" applyFill="1" applyBorder="1"/>
    <xf numFmtId="0" fontId="0" fillId="0" borderId="0" xfId="0" applyFill="1"/>
    <xf numFmtId="0" fontId="0" fillId="0" borderId="0" xfId="0" applyFill="1" applyBorder="1" applyAlignment="1">
      <alignment horizontal="left"/>
    </xf>
    <xf numFmtId="0" fontId="13" fillId="0" borderId="0" xfId="0" applyFont="1"/>
    <xf numFmtId="0" fontId="13" fillId="0" borderId="0" xfId="0" applyFont="1" applyAlignment="1">
      <alignment horizontal="right"/>
    </xf>
    <xf numFmtId="0" fontId="16" fillId="0" borderId="0" xfId="0" applyFont="1"/>
    <xf numFmtId="0" fontId="2" fillId="0" borderId="3" xfId="0" applyFont="1" applyBorder="1"/>
    <xf numFmtId="0" fontId="2" fillId="0" borderId="6" xfId="0" applyFont="1" applyBorder="1"/>
    <xf numFmtId="0" fontId="0" fillId="0" borderId="1" xfId="0" applyFill="1" applyBorder="1"/>
    <xf numFmtId="2" fontId="0" fillId="0" borderId="0" xfId="0" applyNumberFormat="1" applyBorder="1"/>
    <xf numFmtId="0" fontId="0" fillId="0" borderId="0" xfId="0" applyAlignment="1">
      <alignment vertical="center"/>
    </xf>
    <xf numFmtId="0" fontId="2" fillId="0" borderId="0" xfId="0" applyFont="1" applyBorder="1"/>
    <xf numFmtId="0" fontId="7" fillId="0" borderId="0" xfId="0" applyFont="1"/>
    <xf numFmtId="0" fontId="16" fillId="0" borderId="0" xfId="0" applyFont="1" applyBorder="1"/>
    <xf numFmtId="0" fontId="0" fillId="0" borderId="0" xfId="0" applyBorder="1" applyAlignment="1">
      <alignment horizontal="left"/>
    </xf>
    <xf numFmtId="0" fontId="13" fillId="0" borderId="0" xfId="0" applyFont="1" applyBorder="1"/>
    <xf numFmtId="0" fontId="0" fillId="0" borderId="0" xfId="0" applyBorder="1" applyAlignment="1">
      <alignment vertical="center"/>
    </xf>
    <xf numFmtId="2" fontId="0" fillId="2" borderId="0" xfId="0" applyNumberFormat="1" applyFill="1" applyBorder="1"/>
    <xf numFmtId="0" fontId="7" fillId="0" borderId="0" xfId="0" applyFont="1" applyBorder="1"/>
    <xf numFmtId="0" fontId="6" fillId="0" borderId="0" xfId="0" applyFont="1"/>
    <xf numFmtId="0" fontId="0" fillId="0" borderId="0" xfId="0" applyFill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Font="1" applyAlignment="1">
      <alignment horizontal="right"/>
    </xf>
    <xf numFmtId="164" fontId="0" fillId="0" borderId="0" xfId="0" applyNumberFormat="1" applyAlignment="1">
      <alignment horizontal="center"/>
    </xf>
    <xf numFmtId="0" fontId="3" fillId="0" borderId="0" xfId="0" applyFont="1"/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0" applyNumberFormat="1"/>
    <xf numFmtId="2" fontId="0" fillId="0" borderId="0" xfId="0" applyNumberFormat="1" applyAlignment="1">
      <alignment horizontal="right"/>
    </xf>
    <xf numFmtId="0" fontId="0" fillId="0" borderId="2" xfId="0" applyBorder="1" applyAlignment="1">
      <alignment horizontal="center"/>
    </xf>
    <xf numFmtId="2" fontId="0" fillId="0" borderId="2" xfId="0" applyNumberForma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2" fontId="0" fillId="0" borderId="2" xfId="0" applyNumberFormat="1" applyBorder="1"/>
    <xf numFmtId="0" fontId="0" fillId="0" borderId="2" xfId="0" applyBorder="1" applyAlignment="1">
      <alignment horizontal="right"/>
    </xf>
    <xf numFmtId="2" fontId="0" fillId="0" borderId="2" xfId="0" applyNumberFormat="1" applyBorder="1" applyAlignment="1">
      <alignment horizontal="right"/>
    </xf>
    <xf numFmtId="4" fontId="0" fillId="0" borderId="0" xfId="0" applyNumberFormat="1" applyAlignment="1">
      <alignment horizontal="center"/>
    </xf>
    <xf numFmtId="2" fontId="13" fillId="0" borderId="0" xfId="0" applyNumberFormat="1" applyFont="1" applyAlignment="1">
      <alignment horizontal="right"/>
    </xf>
    <xf numFmtId="4" fontId="0" fillId="0" borderId="0" xfId="0" applyNumberFormat="1" applyAlignment="1">
      <alignment horizontal="left"/>
    </xf>
    <xf numFmtId="0" fontId="21" fillId="0" borderId="0" xfId="0" applyFont="1" applyAlignment="1">
      <alignment horizontal="left"/>
    </xf>
    <xf numFmtId="0" fontId="22" fillId="0" borderId="0" xfId="0" applyFont="1"/>
    <xf numFmtId="165" fontId="0" fillId="0" borderId="0" xfId="0" applyNumberFormat="1" applyAlignment="1">
      <alignment horizontal="right"/>
    </xf>
    <xf numFmtId="165" fontId="0" fillId="0" borderId="0" xfId="0" applyNumberFormat="1"/>
    <xf numFmtId="2" fontId="0" fillId="0" borderId="0" xfId="0" applyNumberFormat="1" applyFill="1" applyAlignment="1">
      <alignment horizontal="center"/>
    </xf>
    <xf numFmtId="0" fontId="13" fillId="0" borderId="0" xfId="0" applyFont="1" applyAlignment="1">
      <alignment horizontal="left"/>
    </xf>
    <xf numFmtId="165" fontId="0" fillId="0" borderId="0" xfId="0" applyNumberFormat="1" applyFill="1" applyAlignment="1">
      <alignment horizontal="center"/>
    </xf>
    <xf numFmtId="0" fontId="3" fillId="0" borderId="0" xfId="0" applyFont="1" applyAlignment="1">
      <alignment horizontal="right"/>
    </xf>
    <xf numFmtId="49" fontId="13" fillId="0" borderId="0" xfId="0" applyNumberFormat="1" applyFont="1"/>
    <xf numFmtId="0" fontId="0" fillId="0" borderId="0" xfId="0" applyAlignment="1"/>
    <xf numFmtId="2" fontId="0" fillId="0" borderId="0" xfId="0" applyNumberFormat="1" applyAlignment="1"/>
    <xf numFmtId="0" fontId="0" fillId="0" borderId="0" xfId="0" applyFill="1" applyAlignment="1"/>
    <xf numFmtId="2" fontId="0" fillId="0" borderId="0" xfId="0" applyNumberFormat="1" applyAlignment="1">
      <alignment horizontal="left"/>
    </xf>
    <xf numFmtId="0" fontId="13" fillId="0" borderId="0" xfId="0" applyFont="1" applyAlignment="1">
      <alignment horizontal="right" vertical="center"/>
    </xf>
    <xf numFmtId="0" fontId="0" fillId="0" borderId="2" xfId="0" applyFill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right"/>
    </xf>
    <xf numFmtId="2" fontId="0" fillId="0" borderId="0" xfId="0" applyNumberFormat="1" applyBorder="1" applyAlignment="1">
      <alignment horizontal="left"/>
    </xf>
    <xf numFmtId="0" fontId="26" fillId="0" borderId="0" xfId="0" applyFont="1"/>
    <xf numFmtId="2" fontId="21" fillId="0" borderId="0" xfId="0" applyNumberFormat="1" applyFont="1"/>
    <xf numFmtId="0" fontId="21" fillId="0" borderId="0" xfId="0" applyFont="1"/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2" fontId="0" fillId="0" borderId="11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0" fontId="0" fillId="0" borderId="14" xfId="0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8" fillId="0" borderId="0" xfId="0" applyFont="1" applyBorder="1"/>
    <xf numFmtId="0" fontId="28" fillId="0" borderId="0" xfId="0" applyFont="1" applyBorder="1" applyAlignment="1">
      <alignment horizontal="center"/>
    </xf>
    <xf numFmtId="164" fontId="0" fillId="0" borderId="0" xfId="0" applyNumberFormat="1" applyAlignment="1">
      <alignment horizontal="left"/>
    </xf>
    <xf numFmtId="0" fontId="0" fillId="0" borderId="12" xfId="0" applyBorder="1" applyAlignment="1">
      <alignment horizontal="left"/>
    </xf>
    <xf numFmtId="165" fontId="0" fillId="0" borderId="0" xfId="0" applyNumberFormat="1" applyBorder="1"/>
    <xf numFmtId="0" fontId="13" fillId="0" borderId="0" xfId="0" applyFont="1" applyBorder="1" applyAlignment="1">
      <alignment horizontal="right"/>
    </xf>
    <xf numFmtId="165" fontId="0" fillId="0" borderId="0" xfId="0" applyNumberFormat="1" applyBorder="1" applyAlignment="1"/>
    <xf numFmtId="165" fontId="0" fillId="0" borderId="0" xfId="0" applyNumberFormat="1" applyBorder="1" applyAlignment="1">
      <alignment horizontal="center"/>
    </xf>
    <xf numFmtId="165" fontId="0" fillId="0" borderId="1" xfId="0" applyNumberFormat="1" applyBorder="1"/>
    <xf numFmtId="0" fontId="0" fillId="0" borderId="14" xfId="0" applyFill="1" applyBorder="1" applyAlignment="1">
      <alignment horizontal="left"/>
    </xf>
    <xf numFmtId="0" fontId="22" fillId="0" borderId="0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5" fillId="0" borderId="0" xfId="0" applyFont="1" applyBorder="1"/>
    <xf numFmtId="0" fontId="16" fillId="0" borderId="4" xfId="0" applyFont="1" applyBorder="1"/>
    <xf numFmtId="2" fontId="0" fillId="0" borderId="0" xfId="0" applyNumberFormat="1" applyFill="1"/>
    <xf numFmtId="0" fontId="16" fillId="0" borderId="3" xfId="0" applyFont="1" applyBorder="1"/>
    <xf numFmtId="0" fontId="13" fillId="0" borderId="12" xfId="0" applyFont="1" applyBorder="1"/>
    <xf numFmtId="0" fontId="2" fillId="0" borderId="0" xfId="0" applyFont="1" applyBorder="1" applyAlignment="1">
      <alignment horizontal="right" vertical="center"/>
    </xf>
    <xf numFmtId="0" fontId="0" fillId="3" borderId="13" xfId="0" applyFill="1" applyBorder="1"/>
    <xf numFmtId="0" fontId="0" fillId="3" borderId="0" xfId="0" applyFill="1" applyAlignment="1">
      <alignment horizontal="left"/>
    </xf>
    <xf numFmtId="165" fontId="0" fillId="0" borderId="0" xfId="0" applyNumberFormat="1" applyAlignment="1">
      <alignment horizontal="left"/>
    </xf>
    <xf numFmtId="0" fontId="13" fillId="0" borderId="0" xfId="0" applyFont="1" applyFill="1" applyBorder="1"/>
    <xf numFmtId="164" fontId="0" fillId="0" borderId="0" xfId="0" applyNumberFormat="1" applyBorder="1" applyAlignment="1">
      <alignment horizontal="right"/>
    </xf>
    <xf numFmtId="0" fontId="13" fillId="0" borderId="1" xfId="0" applyFon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1" fontId="0" fillId="0" borderId="1" xfId="0" applyNumberFormat="1" applyBorder="1"/>
    <xf numFmtId="0" fontId="0" fillId="0" borderId="10" xfId="0" applyBorder="1" applyAlignment="1">
      <alignment horizontal="center"/>
    </xf>
    <xf numFmtId="0" fontId="33" fillId="0" borderId="1" xfId="0" applyFont="1" applyBorder="1"/>
    <xf numFmtId="0" fontId="0" fillId="0" borderId="12" xfId="0" applyBorder="1" applyAlignment="1">
      <alignment horizontal="right"/>
    </xf>
    <xf numFmtId="0" fontId="0" fillId="0" borderId="4" xfId="0" applyBorder="1" applyAlignment="1">
      <alignment horizontal="right"/>
    </xf>
    <xf numFmtId="2" fontId="0" fillId="0" borderId="4" xfId="0" applyNumberFormat="1" applyBorder="1" applyAlignment="1">
      <alignment horizontal="center"/>
    </xf>
    <xf numFmtId="0" fontId="0" fillId="0" borderId="5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6" xfId="0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0" fontId="13" fillId="0" borderId="11" xfId="0" applyFont="1" applyBorder="1" applyAlignment="1">
      <alignment horizontal="right"/>
    </xf>
    <xf numFmtId="0" fontId="1" fillId="0" borderId="0" xfId="0" applyFont="1" applyAlignment="1">
      <alignment horizontal="center"/>
    </xf>
    <xf numFmtId="0" fontId="2" fillId="0" borderId="0" xfId="0" applyFont="1" applyBorder="1" applyAlignment="1">
      <alignment vertical="center"/>
    </xf>
    <xf numFmtId="2" fontId="0" fillId="2" borderId="0" xfId="0" applyNumberFormat="1" applyFill="1" applyAlignment="1">
      <alignment horizontal="center"/>
    </xf>
    <xf numFmtId="0" fontId="1" fillId="0" borderId="0" xfId="0" applyFont="1" applyBorder="1" applyAlignment="1">
      <alignment vertical="center"/>
    </xf>
    <xf numFmtId="2" fontId="0" fillId="0" borderId="8" xfId="0" applyNumberFormat="1" applyFill="1" applyBorder="1" applyAlignment="1">
      <alignment horizontal="center"/>
    </xf>
    <xf numFmtId="2" fontId="0" fillId="0" borderId="14" xfId="0" applyNumberFormat="1" applyFill="1" applyBorder="1" applyAlignment="1">
      <alignment horizontal="center"/>
    </xf>
    <xf numFmtId="2" fontId="0" fillId="0" borderId="9" xfId="0" applyNumberFormat="1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8" fillId="0" borderId="0" xfId="0" applyFont="1" applyBorder="1" applyAlignment="1">
      <alignment horizontal="center"/>
    </xf>
    <xf numFmtId="164" fontId="8" fillId="0" borderId="0" xfId="0" applyNumberFormat="1" applyFont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166" fontId="0" fillId="0" borderId="13" xfId="0" applyNumberFormat="1" applyBorder="1" applyAlignment="1">
      <alignment horizontal="center"/>
    </xf>
    <xf numFmtId="0" fontId="0" fillId="0" borderId="11" xfId="0" applyFill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0" fontId="0" fillId="0" borderId="0" xfId="0" applyFill="1" applyBorder="1" applyAlignment="1">
      <alignment horizontal="right"/>
    </xf>
    <xf numFmtId="166" fontId="0" fillId="0" borderId="0" xfId="0" applyNumberFormat="1" applyFill="1" applyBorder="1" applyAlignment="1">
      <alignment horizontal="center"/>
    </xf>
    <xf numFmtId="165" fontId="0" fillId="0" borderId="0" xfId="0" applyNumberFormat="1" applyBorder="1" applyAlignment="1">
      <alignment horizontal="right"/>
    </xf>
    <xf numFmtId="2" fontId="0" fillId="2" borderId="1" xfId="0" applyNumberFormat="1" applyFill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3" fontId="0" fillId="0" borderId="1" xfId="0" applyNumberFormat="1" applyFill="1" applyBorder="1" applyAlignment="1">
      <alignment horizontal="center"/>
    </xf>
    <xf numFmtId="0" fontId="0" fillId="0" borderId="0" xfId="0" applyFill="1" applyAlignment="1">
      <alignment horizontal="right"/>
    </xf>
    <xf numFmtId="0" fontId="0" fillId="0" borderId="0" xfId="0" applyFill="1" applyAlignment="1">
      <alignment horizontal="left"/>
    </xf>
    <xf numFmtId="0" fontId="5" fillId="0" borderId="0" xfId="0" applyFont="1" applyFill="1" applyBorder="1" applyAlignment="1">
      <alignment horizontal="right"/>
    </xf>
    <xf numFmtId="2" fontId="0" fillId="0" borderId="10" xfId="0" applyNumberFormat="1" applyBorder="1" applyAlignment="1">
      <alignment horizontal="center"/>
    </xf>
    <xf numFmtId="0" fontId="5" fillId="0" borderId="0" xfId="0" applyFont="1" applyAlignment="1">
      <alignment horizontal="right"/>
    </xf>
    <xf numFmtId="2" fontId="0" fillId="2" borderId="1" xfId="0" applyNumberFormat="1" applyFill="1" applyBorder="1"/>
    <xf numFmtId="0" fontId="0" fillId="2" borderId="1" xfId="0" applyFill="1" applyBorder="1"/>
    <xf numFmtId="0" fontId="5" fillId="0" borderId="0" xfId="0" applyFont="1" applyAlignment="1">
      <alignment horizontal="left" vertical="center"/>
    </xf>
    <xf numFmtId="0" fontId="5" fillId="0" borderId="0" xfId="0" applyFont="1"/>
    <xf numFmtId="166" fontId="0" fillId="0" borderId="0" xfId="0" applyNumberFormat="1"/>
    <xf numFmtId="0" fontId="1" fillId="0" borderId="0" xfId="0" applyFont="1" applyFill="1" applyAlignment="1">
      <alignment horizontal="center"/>
    </xf>
    <xf numFmtId="0" fontId="2" fillId="0" borderId="0" xfId="0" applyFont="1" applyFill="1" applyBorder="1" applyAlignment="1">
      <alignment vertical="center"/>
    </xf>
    <xf numFmtId="0" fontId="0" fillId="0" borderId="16" xfId="0" applyBorder="1"/>
    <xf numFmtId="0" fontId="0" fillId="0" borderId="17" xfId="0" applyBorder="1"/>
    <xf numFmtId="0" fontId="0" fillId="0" borderId="16" xfId="0" applyBorder="1" applyAlignment="1">
      <alignment horizontal="left"/>
    </xf>
    <xf numFmtId="164" fontId="0" fillId="0" borderId="0" xfId="0" applyNumberFormat="1" applyFill="1" applyBorder="1"/>
    <xf numFmtId="1" fontId="0" fillId="0" borderId="0" xfId="0" applyNumberFormat="1" applyFill="1" applyBorder="1"/>
    <xf numFmtId="0" fontId="1" fillId="0" borderId="16" xfId="0" applyFont="1" applyBorder="1" applyAlignment="1">
      <alignment horizontal="left"/>
    </xf>
    <xf numFmtId="0" fontId="38" fillId="0" borderId="18" xfId="0" applyFont="1" applyBorder="1"/>
    <xf numFmtId="0" fontId="38" fillId="0" borderId="19" xfId="0" applyFont="1" applyBorder="1"/>
    <xf numFmtId="164" fontId="38" fillId="0" borderId="19" xfId="0" applyNumberFormat="1" applyFont="1" applyBorder="1"/>
    <xf numFmtId="0" fontId="38" fillId="0" borderId="20" xfId="0" applyFont="1" applyBorder="1"/>
    <xf numFmtId="0" fontId="38" fillId="0" borderId="16" xfId="0" applyFont="1" applyFill="1" applyBorder="1"/>
    <xf numFmtId="0" fontId="38" fillId="0" borderId="0" xfId="0" applyFont="1" applyBorder="1"/>
    <xf numFmtId="0" fontId="38" fillId="0" borderId="17" xfId="0" applyFont="1" applyBorder="1"/>
    <xf numFmtId="0" fontId="38" fillId="0" borderId="0" xfId="0" applyFont="1" applyFill="1" applyBorder="1"/>
    <xf numFmtId="0" fontId="38" fillId="0" borderId="16" xfId="0" applyFont="1" applyBorder="1"/>
    <xf numFmtId="0" fontId="39" fillId="0" borderId="0" xfId="0" applyFont="1" applyBorder="1" applyAlignment="1">
      <alignment horizontal="right"/>
    </xf>
    <xf numFmtId="0" fontId="38" fillId="0" borderId="0" xfId="0" applyFont="1" applyBorder="1" applyAlignment="1">
      <alignment horizontal="right"/>
    </xf>
    <xf numFmtId="2" fontId="38" fillId="2" borderId="0" xfId="0" applyNumberFormat="1" applyFont="1" applyFill="1" applyBorder="1"/>
    <xf numFmtId="0" fontId="43" fillId="0" borderId="16" xfId="0" applyFont="1" applyBorder="1" applyAlignment="1">
      <alignment horizontal="left"/>
    </xf>
    <xf numFmtId="2" fontId="38" fillId="0" borderId="0" xfId="0" applyNumberFormat="1" applyFont="1" applyBorder="1"/>
    <xf numFmtId="0" fontId="38" fillId="0" borderId="21" xfId="0" applyFont="1" applyFill="1" applyBorder="1"/>
    <xf numFmtId="0" fontId="38" fillId="0" borderId="22" xfId="0" applyFont="1" applyBorder="1"/>
    <xf numFmtId="0" fontId="38" fillId="0" borderId="22" xfId="0" applyFont="1" applyBorder="1" applyAlignment="1">
      <alignment horizontal="right"/>
    </xf>
    <xf numFmtId="2" fontId="38" fillId="2" borderId="22" xfId="0" applyNumberFormat="1" applyFont="1" applyFill="1" applyBorder="1"/>
    <xf numFmtId="0" fontId="38" fillId="0" borderId="23" xfId="0" applyFont="1" applyBorder="1"/>
    <xf numFmtId="0" fontId="38" fillId="0" borderId="12" xfId="0" applyFont="1" applyFill="1" applyBorder="1"/>
    <xf numFmtId="0" fontId="39" fillId="0" borderId="1" xfId="0" applyFont="1" applyBorder="1" applyAlignment="1">
      <alignment horizontal="right"/>
    </xf>
    <xf numFmtId="0" fontId="13" fillId="0" borderId="4" xfId="0" applyFont="1" applyBorder="1" applyAlignment="1">
      <alignment horizontal="right"/>
    </xf>
    <xf numFmtId="0" fontId="44" fillId="4" borderId="0" xfId="0" applyFont="1" applyFill="1"/>
    <xf numFmtId="0" fontId="0" fillId="4" borderId="0" xfId="0" applyFill="1"/>
    <xf numFmtId="0" fontId="45" fillId="4" borderId="0" xfId="0" applyFont="1" applyFill="1" applyAlignment="1">
      <alignment horizontal="center"/>
    </xf>
    <xf numFmtId="0" fontId="9" fillId="4" borderId="0" xfId="0" applyFont="1" applyFill="1"/>
    <xf numFmtId="0" fontId="46" fillId="4" borderId="0" xfId="0" applyFont="1" applyFill="1" applyAlignment="1">
      <alignment horizontal="right"/>
    </xf>
    <xf numFmtId="0" fontId="47" fillId="4" borderId="0" xfId="0" applyFont="1" applyFill="1" applyAlignment="1">
      <alignment horizontal="right"/>
    </xf>
    <xf numFmtId="0" fontId="48" fillId="4" borderId="0" xfId="0" applyFont="1" applyFill="1" applyAlignment="1">
      <alignment horizontal="right"/>
    </xf>
    <xf numFmtId="0" fontId="0" fillId="5" borderId="0" xfId="0" applyFill="1" applyAlignment="1">
      <alignment horizontal="left"/>
    </xf>
    <xf numFmtId="0" fontId="46" fillId="5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0" fontId="0" fillId="5" borderId="0" xfId="0" applyFill="1"/>
    <xf numFmtId="0" fontId="46" fillId="5" borderId="0" xfId="0" applyFont="1" applyFill="1" applyAlignment="1">
      <alignment horizontal="center"/>
    </xf>
    <xf numFmtId="0" fontId="46" fillId="5" borderId="0" xfId="0" applyFont="1" applyFill="1" applyAlignment="1">
      <alignment horizontal="right" vertical="center"/>
    </xf>
    <xf numFmtId="0" fontId="0" fillId="5" borderId="0" xfId="0" applyFill="1" applyBorder="1" applyAlignment="1">
      <alignment horizontal="left"/>
    </xf>
    <xf numFmtId="2" fontId="0" fillId="5" borderId="0" xfId="0" applyNumberFormat="1" applyFill="1" applyBorder="1" applyAlignment="1">
      <alignment horizontal="center"/>
    </xf>
    <xf numFmtId="0" fontId="0" fillId="5" borderId="0" xfId="0" applyFill="1" applyBorder="1"/>
    <xf numFmtId="0" fontId="49" fillId="0" borderId="0" xfId="1" applyFont="1"/>
    <xf numFmtId="0" fontId="49" fillId="0" borderId="0" xfId="0" applyFont="1"/>
    <xf numFmtId="0" fontId="49" fillId="5" borderId="0" xfId="0" applyFont="1" applyFill="1"/>
    <xf numFmtId="0" fontId="49" fillId="5" borderId="0" xfId="0" applyFont="1" applyFill="1" applyAlignment="1">
      <alignment horizontal="left"/>
    </xf>
    <xf numFmtId="0" fontId="49" fillId="5" borderId="0" xfId="0" applyFont="1" applyFill="1" applyAlignment="1">
      <alignment horizontal="right"/>
    </xf>
    <xf numFmtId="0" fontId="49" fillId="5" borderId="0" xfId="0" applyFont="1" applyFill="1" applyBorder="1" applyAlignment="1">
      <alignment horizontal="center"/>
    </xf>
    <xf numFmtId="0" fontId="49" fillId="5" borderId="0" xfId="0" applyFont="1" applyFill="1" applyAlignment="1">
      <alignment horizontal="center"/>
    </xf>
    <xf numFmtId="2" fontId="52" fillId="4" borderId="0" xfId="0" applyNumberFormat="1" applyFont="1" applyFill="1" applyAlignment="1">
      <alignment horizontal="center"/>
    </xf>
    <xf numFmtId="0" fontId="52" fillId="4" borderId="0" xfId="0" applyFont="1" applyFill="1" applyAlignment="1">
      <alignment horizontal="left"/>
    </xf>
    <xf numFmtId="2" fontId="53" fillId="6" borderId="1" xfId="0" applyNumberFormat="1" applyFont="1" applyFill="1" applyBorder="1" applyAlignment="1">
      <alignment horizontal="center"/>
    </xf>
    <xf numFmtId="0" fontId="0" fillId="6" borderId="1" xfId="0" applyFill="1" applyBorder="1" applyAlignment="1" applyProtection="1">
      <alignment horizontal="center"/>
      <protection locked="0"/>
    </xf>
    <xf numFmtId="2" fontId="0" fillId="6" borderId="1" xfId="0" applyNumberFormat="1" applyFill="1" applyBorder="1" applyAlignment="1" applyProtection="1">
      <alignment horizontal="center"/>
      <protection locked="0"/>
    </xf>
  </cellXfs>
  <cellStyles count="2">
    <cellStyle name="Normal 2" xfId="1" xr:uid="{00000000-0005-0000-0000-000001000000}"/>
    <cellStyle name="Normalan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472440</xdr:colOff>
      <xdr:row>4</xdr:row>
      <xdr:rowOff>99060</xdr:rowOff>
    </xdr:from>
    <xdr:to>
      <xdr:col>22</xdr:col>
      <xdr:colOff>38100</xdr:colOff>
      <xdr:row>6</xdr:row>
      <xdr:rowOff>83820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67" t="39836" r="40457" b="50459"/>
        <a:stretch>
          <a:fillRect/>
        </a:stretch>
      </xdr:blipFill>
      <xdr:spPr bwMode="auto">
        <a:xfrm>
          <a:off x="13563600" y="861060"/>
          <a:ext cx="154686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144780</xdr:colOff>
          <xdr:row>8</xdr:row>
          <xdr:rowOff>114300</xdr:rowOff>
        </xdr:from>
        <xdr:to>
          <xdr:col>22</xdr:col>
          <xdr:colOff>297180</xdr:colOff>
          <xdr:row>10</xdr:row>
          <xdr:rowOff>99060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182880</xdr:colOff>
          <xdr:row>78</xdr:row>
          <xdr:rowOff>106680</xdr:rowOff>
        </xdr:from>
        <xdr:to>
          <xdr:col>34</xdr:col>
          <xdr:colOff>60960</xdr:colOff>
          <xdr:row>104</xdr:row>
          <xdr:rowOff>137160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2093595</xdr:colOff>
          <xdr:row>12</xdr:row>
          <xdr:rowOff>89535</xdr:rowOff>
        </xdr:from>
        <xdr:to>
          <xdr:col>1</xdr:col>
          <xdr:colOff>3941445</xdr:colOff>
          <xdr:row>14</xdr:row>
          <xdr:rowOff>137160</xdr:rowOff>
        </xdr:to>
        <xdr:sp macro="" textlink="">
          <xdr:nvSpPr>
            <xdr:cNvPr id="1077" name="Object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4185285</xdr:colOff>
          <xdr:row>12</xdr:row>
          <xdr:rowOff>11430</xdr:rowOff>
        </xdr:from>
        <xdr:to>
          <xdr:col>4</xdr:col>
          <xdr:colOff>228600</xdr:colOff>
          <xdr:row>15</xdr:row>
          <xdr:rowOff>17145</xdr:rowOff>
        </xdr:to>
        <xdr:sp macro="" textlink="">
          <xdr:nvSpPr>
            <xdr:cNvPr id="1078" name="Object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268"/>
  <sheetViews>
    <sheetView showGridLines="0" tabSelected="1" zoomScale="101" zoomScaleNormal="100" zoomScaleSheetLayoutView="100" workbookViewId="0">
      <selection activeCell="C12" sqref="C12"/>
    </sheetView>
  </sheetViews>
  <sheetFormatPr defaultRowHeight="14.4" x14ac:dyDescent="0.3"/>
  <cols>
    <col min="2" max="2" width="62" bestFit="1" customWidth="1"/>
    <col min="3" max="3" width="13.5546875" customWidth="1"/>
    <col min="4" max="4" width="11.5546875" customWidth="1"/>
    <col min="5" max="5" width="9.33203125" bestFit="1" customWidth="1"/>
    <col min="6" max="6" width="11.6640625" customWidth="1"/>
    <col min="7" max="7" width="8.33203125" customWidth="1"/>
    <col min="8" max="8" width="10.33203125" hidden="1" customWidth="1"/>
    <col min="9" max="9" width="10.44140625" hidden="1" customWidth="1"/>
    <col min="10" max="12" width="9.33203125" hidden="1" customWidth="1"/>
    <col min="13" max="13" width="10" hidden="1" customWidth="1"/>
    <col min="14" max="14" width="10.6640625" hidden="1" customWidth="1"/>
    <col min="15" max="15" width="9.109375" hidden="1" customWidth="1"/>
    <col min="16" max="17" width="11.6640625" hidden="1" customWidth="1"/>
    <col min="18" max="19" width="9.44140625" hidden="1" customWidth="1"/>
    <col min="20" max="20" width="10.109375" hidden="1" customWidth="1"/>
    <col min="21" max="21" width="9.44140625" hidden="1" customWidth="1"/>
    <col min="22" max="22" width="9.33203125" hidden="1" customWidth="1"/>
    <col min="23" max="23" width="9.44140625" hidden="1" customWidth="1"/>
    <col min="24" max="24" width="0" hidden="1" customWidth="1"/>
    <col min="25" max="26" width="9.33203125" hidden="1" customWidth="1"/>
    <col min="27" max="30" width="0" hidden="1" customWidth="1"/>
    <col min="31" max="31" width="9.88671875" hidden="1" customWidth="1"/>
    <col min="32" max="38" width="0" hidden="1" customWidth="1"/>
  </cols>
  <sheetData>
    <row r="1" spans="2:36" x14ac:dyDescent="0.3">
      <c r="B1" s="220" t="s">
        <v>418</v>
      </c>
      <c r="J1" s="10"/>
    </row>
    <row r="2" spans="2:36" x14ac:dyDescent="0.3">
      <c r="B2" s="221"/>
      <c r="F2" s="10"/>
      <c r="J2" s="36" t="s">
        <v>26</v>
      </c>
      <c r="K2" s="57" t="s">
        <v>11</v>
      </c>
      <c r="M2" s="46"/>
      <c r="N2" s="153" t="s">
        <v>38</v>
      </c>
      <c r="O2" s="154">
        <f>IF(C6=0.7,R21,IF(C6=0.75,R22,IF(C6=0.88,R23,IF(C6=1,R24,IF(C6=1.2,R25,IF(C6=1.25,R26,IF(C6=1.5,R27)))))))</f>
        <v>8.9168782774512625</v>
      </c>
      <c r="P2" s="155" t="s">
        <v>3</v>
      </c>
      <c r="Q2" s="25"/>
      <c r="R2" s="21"/>
      <c r="AI2" s="20"/>
    </row>
    <row r="3" spans="2:36" ht="23.4" x14ac:dyDescent="0.45">
      <c r="B3" s="222" t="s">
        <v>432</v>
      </c>
      <c r="M3" s="152" t="s">
        <v>36</v>
      </c>
      <c r="N3" s="21" t="s">
        <v>37</v>
      </c>
      <c r="O3" s="27">
        <f>C10+O2</f>
        <v>8.9168782774512625</v>
      </c>
      <c r="Q3" s="171">
        <f>O3/100</f>
        <v>8.9168782774512623E-2</v>
      </c>
      <c r="R3" s="168" t="s">
        <v>10</v>
      </c>
      <c r="U3" s="58" t="s">
        <v>42</v>
      </c>
      <c r="Z3" s="20"/>
      <c r="AI3" s="20"/>
    </row>
    <row r="4" spans="2:36" ht="15.6" x14ac:dyDescent="0.3">
      <c r="B4" s="223"/>
      <c r="F4" s="33"/>
      <c r="J4" s="19">
        <f>IF(K2="Позитиван",1,2)</f>
        <v>1</v>
      </c>
      <c r="K4" t="s">
        <v>11</v>
      </c>
      <c r="M4" s="41"/>
      <c r="N4" s="21" t="s">
        <v>4</v>
      </c>
      <c r="O4" s="27">
        <f>O3/10</f>
        <v>0.89168782774512623</v>
      </c>
      <c r="P4" s="40" t="s">
        <v>6</v>
      </c>
      <c r="Q4" s="168"/>
      <c r="R4" s="53"/>
      <c r="U4" s="37" t="s">
        <v>27</v>
      </c>
      <c r="V4" s="12"/>
      <c r="W4" s="13"/>
      <c r="X4" s="53"/>
      <c r="Y4" s="53"/>
      <c r="Z4" s="25"/>
      <c r="AI4" s="20"/>
    </row>
    <row r="5" spans="2:36" ht="15.6" x14ac:dyDescent="0.3">
      <c r="B5" s="224" t="s">
        <v>419</v>
      </c>
      <c r="C5" s="246">
        <v>280</v>
      </c>
      <c r="D5" s="236" t="s">
        <v>23</v>
      </c>
      <c r="F5" s="35"/>
      <c r="G5" s="1"/>
      <c r="J5" s="28"/>
      <c r="K5" t="s">
        <v>12</v>
      </c>
      <c r="M5" s="41"/>
      <c r="N5" s="21" t="s">
        <v>359</v>
      </c>
      <c r="O5" s="27">
        <f>1.35*O3/100</f>
        <v>0.12037785674559204</v>
      </c>
      <c r="P5" s="40" t="s">
        <v>10</v>
      </c>
      <c r="Q5" s="168"/>
      <c r="R5" s="53"/>
      <c r="U5" s="39"/>
      <c r="V5" s="20"/>
      <c r="W5" s="40"/>
      <c r="X5" s="53"/>
      <c r="Y5" s="53"/>
      <c r="Z5" s="25"/>
      <c r="AI5" s="20"/>
    </row>
    <row r="6" spans="2:36" ht="15.6" x14ac:dyDescent="0.3">
      <c r="B6" s="224" t="s">
        <v>420</v>
      </c>
      <c r="C6" s="246">
        <v>0.88</v>
      </c>
      <c r="D6" s="237" t="s">
        <v>25</v>
      </c>
      <c r="F6" s="11"/>
      <c r="G6" s="1"/>
      <c r="M6" s="43"/>
      <c r="N6" s="89" t="s">
        <v>1</v>
      </c>
      <c r="O6" s="86">
        <f>C8*100</f>
        <v>500</v>
      </c>
      <c r="P6" s="15" t="s">
        <v>9</v>
      </c>
      <c r="Q6" s="169"/>
      <c r="R6" s="53"/>
      <c r="U6" s="41"/>
      <c r="V6" s="20"/>
      <c r="W6" s="40"/>
      <c r="X6" s="53"/>
      <c r="Y6" s="53"/>
      <c r="Z6" s="20"/>
      <c r="AI6" s="20"/>
    </row>
    <row r="7" spans="2:36" ht="15.6" x14ac:dyDescent="0.3">
      <c r="B7" s="225"/>
      <c r="C7" s="24"/>
      <c r="D7" s="20"/>
      <c r="J7" s="7" t="s">
        <v>24</v>
      </c>
      <c r="K7" s="16" t="s">
        <v>33</v>
      </c>
      <c r="L7" s="16" t="s">
        <v>34</v>
      </c>
      <c r="O7" s="23"/>
      <c r="P7" s="25"/>
      <c r="Q7" s="168"/>
      <c r="R7" s="53"/>
      <c r="U7" s="41"/>
      <c r="V7" s="20"/>
      <c r="W7" s="40"/>
      <c r="X7" s="27"/>
      <c r="Y7" s="20"/>
      <c r="Z7" s="20"/>
      <c r="AI7" s="20"/>
    </row>
    <row r="8" spans="2:36" ht="15.6" x14ac:dyDescent="0.3">
      <c r="B8" s="224" t="s">
        <v>421</v>
      </c>
      <c r="C8" s="247">
        <v>5</v>
      </c>
      <c r="D8" s="237" t="s">
        <v>2</v>
      </c>
      <c r="J8" s="7">
        <v>320</v>
      </c>
      <c r="K8" s="44">
        <f>IF(C5=320,L46,0)</f>
        <v>0</v>
      </c>
      <c r="L8" s="9">
        <f>IF(C5=320,M46,0)</f>
        <v>0</v>
      </c>
      <c r="N8" s="174" t="s">
        <v>343</v>
      </c>
      <c r="P8" s="27"/>
      <c r="Q8" s="170"/>
      <c r="R8" s="53"/>
      <c r="U8" s="42" t="s">
        <v>28</v>
      </c>
      <c r="V8" s="20"/>
      <c r="W8" s="40"/>
      <c r="X8" s="20"/>
      <c r="Y8" s="27"/>
      <c r="Z8" s="20"/>
      <c r="AI8" s="20"/>
    </row>
    <row r="9" spans="2:36" ht="15.6" x14ac:dyDescent="0.3">
      <c r="B9" s="224" t="s">
        <v>422</v>
      </c>
      <c r="C9" s="246">
        <v>3</v>
      </c>
      <c r="J9" s="7">
        <v>280</v>
      </c>
      <c r="K9" s="44">
        <f>IF(C5=280,P46,0)</f>
        <v>10.289398910912288</v>
      </c>
      <c r="L9" s="9">
        <f>IF(C5=280,Q46,0)</f>
        <v>6.0433634422642273</v>
      </c>
      <c r="P9" s="25"/>
      <c r="R9" s="53"/>
      <c r="U9" s="41"/>
      <c r="V9" s="20"/>
      <c r="W9" s="40"/>
      <c r="X9" s="47"/>
      <c r="Y9" s="30"/>
      <c r="Z9" s="20"/>
      <c r="AI9" s="20"/>
    </row>
    <row r="10" spans="2:36" ht="15.6" x14ac:dyDescent="0.3">
      <c r="B10" s="226" t="s">
        <v>423</v>
      </c>
      <c r="C10" s="243">
        <v>0</v>
      </c>
      <c r="D10" s="244" t="s">
        <v>3</v>
      </c>
      <c r="F10" s="174"/>
      <c r="G10" s="1"/>
      <c r="P10" s="27"/>
      <c r="Q10" s="168"/>
      <c r="R10" s="53"/>
      <c r="U10" s="39"/>
      <c r="V10" s="20"/>
      <c r="W10" s="40"/>
      <c r="X10" s="47"/>
      <c r="Y10" s="47"/>
      <c r="Z10" s="20"/>
      <c r="AI10" s="20"/>
    </row>
    <row r="11" spans="2:36" ht="15.6" x14ac:dyDescent="0.3">
      <c r="B11" s="224" t="s">
        <v>424</v>
      </c>
      <c r="C11" s="246">
        <v>200</v>
      </c>
      <c r="F11" s="1"/>
      <c r="G11" s="1"/>
      <c r="H11" s="4"/>
      <c r="I11" s="5"/>
      <c r="J11" s="65"/>
      <c r="K11" s="16" t="s">
        <v>308</v>
      </c>
      <c r="L11" s="16" t="str">
        <f>IF(J31=1,"Md+ =","Md- =")</f>
        <v>Md- =</v>
      </c>
      <c r="M11" s="9">
        <f>IF(J31=1,O12,O15)</f>
        <v>6.0433634422642273</v>
      </c>
      <c r="N11" s="46" t="s">
        <v>20</v>
      </c>
      <c r="O11" s="12"/>
      <c r="P11" s="13"/>
      <c r="Q11" s="47"/>
      <c r="R11" s="32" t="s">
        <v>357</v>
      </c>
      <c r="U11" s="43"/>
      <c r="V11" s="14"/>
      <c r="W11" s="15"/>
      <c r="X11" s="51"/>
      <c r="Y11" s="55"/>
      <c r="Z11" s="20"/>
      <c r="AI11" s="20"/>
    </row>
    <row r="12" spans="2:36" ht="15.6" x14ac:dyDescent="0.3">
      <c r="B12" s="224" t="s">
        <v>425</v>
      </c>
      <c r="C12" s="246" t="s">
        <v>12</v>
      </c>
      <c r="I12" s="5"/>
      <c r="J12" s="65"/>
      <c r="K12" s="16" t="s">
        <v>55</v>
      </c>
      <c r="L12" s="16" t="str">
        <f>IF(J31=1,"Md- =","Md+ =")</f>
        <v>Md+ =</v>
      </c>
      <c r="M12" s="9">
        <f>IF(J31=1,O15,O12)</f>
        <v>10.289398910912288</v>
      </c>
      <c r="N12" s="152" t="s">
        <v>16</v>
      </c>
      <c r="O12" s="65">
        <f>IF(C5=320,K8,K9)</f>
        <v>10.289398910912288</v>
      </c>
      <c r="P12" s="156" t="s">
        <v>17</v>
      </c>
      <c r="Q12" s="25"/>
      <c r="R12" s="178">
        <v>150</v>
      </c>
      <c r="U12" s="20"/>
      <c r="V12" s="49"/>
      <c r="W12" s="20"/>
      <c r="X12" s="47"/>
      <c r="Y12" s="55"/>
      <c r="Z12" s="20"/>
      <c r="AI12" s="20"/>
    </row>
    <row r="13" spans="2:36" x14ac:dyDescent="0.3">
      <c r="B13" s="221"/>
      <c r="G13" s="174"/>
      <c r="N13" s="41"/>
      <c r="O13" s="20"/>
      <c r="P13" s="40"/>
      <c r="Q13" s="25"/>
      <c r="R13" s="178">
        <v>200</v>
      </c>
      <c r="U13" s="20"/>
      <c r="V13" s="20"/>
      <c r="W13" s="20"/>
      <c r="X13" s="51"/>
      <c r="Y13" s="55"/>
      <c r="Z13" s="20"/>
      <c r="AI13" s="27"/>
    </row>
    <row r="14" spans="2:36" x14ac:dyDescent="0.3">
      <c r="B14" s="221"/>
      <c r="N14" s="41" t="s">
        <v>35</v>
      </c>
      <c r="O14" s="20"/>
      <c r="P14" s="40"/>
      <c r="Q14" s="47"/>
      <c r="R14" s="178">
        <v>300</v>
      </c>
      <c r="U14" s="38"/>
      <c r="V14" s="20"/>
      <c r="W14" s="20"/>
      <c r="X14" s="47"/>
      <c r="Y14" s="55"/>
      <c r="Z14" s="20"/>
      <c r="AI14" s="27"/>
    </row>
    <row r="15" spans="2:36" x14ac:dyDescent="0.3">
      <c r="B15" s="221"/>
      <c r="C15" s="5"/>
      <c r="J15" s="159" t="s">
        <v>342</v>
      </c>
      <c r="K15" s="150">
        <v>1.1000000000000001</v>
      </c>
      <c r="N15" s="157" t="s">
        <v>18</v>
      </c>
      <c r="O15" s="88">
        <f>IF(C5=320,L8,L9)</f>
        <v>6.0433634422642273</v>
      </c>
      <c r="P15" s="118" t="s">
        <v>17</v>
      </c>
      <c r="Q15" s="47"/>
      <c r="R15" s="179">
        <v>400</v>
      </c>
      <c r="U15" s="21"/>
      <c r="V15" s="20"/>
      <c r="W15" s="20"/>
      <c r="X15" s="51"/>
      <c r="Y15" s="55"/>
      <c r="Z15" s="20"/>
      <c r="AI15" s="27"/>
    </row>
    <row r="16" spans="2:36" x14ac:dyDescent="0.3">
      <c r="B16" s="227"/>
      <c r="C16" s="230"/>
      <c r="D16" s="230"/>
      <c r="E16" s="230"/>
      <c r="F16" s="229"/>
      <c r="R16" s="179">
        <v>500</v>
      </c>
      <c r="U16" s="21"/>
      <c r="V16" s="20"/>
      <c r="W16" s="20"/>
      <c r="X16" s="47"/>
      <c r="Y16" s="30"/>
      <c r="Z16" s="20"/>
      <c r="AI16" s="20"/>
      <c r="AJ16" s="25"/>
    </row>
    <row r="17" spans="1:38" ht="15.6" x14ac:dyDescent="0.3">
      <c r="B17" s="228" t="s">
        <v>426</v>
      </c>
      <c r="C17" s="245">
        <f>I125</f>
        <v>175.10703507345224</v>
      </c>
      <c r="D17" s="238" t="s">
        <v>356</v>
      </c>
      <c r="E17" s="230"/>
      <c r="F17" s="233"/>
      <c r="K17" s="22" t="s">
        <v>358</v>
      </c>
      <c r="N17" s="25"/>
      <c r="U17" s="20"/>
      <c r="V17" s="20"/>
      <c r="W17" s="20"/>
      <c r="X17" s="47"/>
      <c r="Y17" s="30"/>
      <c r="Z17" s="20"/>
      <c r="AI17" s="20"/>
      <c r="AJ17" s="47"/>
    </row>
    <row r="18" spans="1:38" ht="15.6" x14ac:dyDescent="0.35">
      <c r="B18" s="229"/>
      <c r="C18" s="230"/>
      <c r="D18" s="230"/>
      <c r="E18" s="230"/>
      <c r="F18" s="230"/>
      <c r="K18" s="115" t="s">
        <v>19</v>
      </c>
      <c r="L18" s="17" t="s">
        <v>244</v>
      </c>
      <c r="M18" s="116" t="s">
        <v>13</v>
      </c>
      <c r="N18" s="17" t="s">
        <v>14</v>
      </c>
      <c r="U18" s="20"/>
      <c r="V18" s="20"/>
      <c r="W18" s="20"/>
      <c r="X18" s="47"/>
      <c r="Y18" s="47"/>
      <c r="Z18" s="20"/>
      <c r="AI18" s="20"/>
      <c r="AJ18" s="53"/>
    </row>
    <row r="19" spans="1:38" ht="15.6" x14ac:dyDescent="0.3">
      <c r="B19" s="228" t="s">
        <v>427</v>
      </c>
      <c r="C19" s="245">
        <f>F137</f>
        <v>130.38823093487125</v>
      </c>
      <c r="D19" s="239" t="s">
        <v>3</v>
      </c>
      <c r="E19" s="230"/>
      <c r="F19" s="230"/>
      <c r="K19" s="117" t="s">
        <v>7</v>
      </c>
      <c r="L19" s="18" t="s">
        <v>7</v>
      </c>
      <c r="M19" s="118" t="s">
        <v>8</v>
      </c>
      <c r="N19" s="18" t="s">
        <v>8</v>
      </c>
      <c r="P19" s="20"/>
      <c r="Q19" s="20"/>
      <c r="R19" s="20"/>
      <c r="W19" s="20"/>
      <c r="X19" s="158"/>
      <c r="Y19" s="51"/>
      <c r="Z19" s="20"/>
      <c r="AI19" s="20"/>
      <c r="AJ19" s="53"/>
    </row>
    <row r="20" spans="1:38" ht="15" x14ac:dyDescent="0.3">
      <c r="B20" s="229"/>
      <c r="C20" s="234"/>
      <c r="D20" s="235"/>
      <c r="E20" s="230"/>
      <c r="F20" s="235"/>
      <c r="G20" s="20"/>
      <c r="H20" s="20"/>
      <c r="K20" s="9">
        <f>IF($C$9=1,K25,IF($C$9=2,K26,IF($C$9=3,K27,IF($C$9=4,$K$28,IF($C$9=5,K29)))))</f>
        <v>0.66207821210075624</v>
      </c>
      <c r="L20" s="9">
        <f>IF($C$9=1,L25,IF($C$9=2,L26,IF($C$9=3,L27,IF($C$9=4,L28,IF($C$9=5,L29)))))</f>
        <v>0.24075571349118408</v>
      </c>
      <c r="M20" s="9">
        <f>IF($C$9=1,M25,IF($C$9=2,M26,IF($C$9=3,M27,IF($C$9=4,$M$28,IF($C$9=5,M29)))))</f>
        <v>0.24075571349118408</v>
      </c>
      <c r="N20" s="9">
        <f>IF($C$9=1,N25,IF($C$9=2,N26,IF($C$9=3,N27,IF($C$9=4,$N$28,IF($C$9=5,N29)))))</f>
        <v>-0.30094464186398012</v>
      </c>
      <c r="O20" s="25"/>
      <c r="P20" s="7" t="s">
        <v>22</v>
      </c>
      <c r="Q20" s="32" t="s">
        <v>40</v>
      </c>
      <c r="R20" s="172" t="s">
        <v>39</v>
      </c>
      <c r="W20" s="20"/>
      <c r="X20" s="158"/>
      <c r="Y20" s="51"/>
      <c r="Z20" s="20"/>
      <c r="AI20" s="20"/>
      <c r="AJ20" s="53"/>
    </row>
    <row r="21" spans="1:38" ht="15.6" x14ac:dyDescent="0.3">
      <c r="B21" s="228" t="s">
        <v>428</v>
      </c>
      <c r="C21" s="245">
        <f>AH181</f>
        <v>636.67031365837863</v>
      </c>
      <c r="D21" s="239" t="s">
        <v>3</v>
      </c>
      <c r="E21" s="230"/>
      <c r="F21" s="230"/>
      <c r="G21" s="20"/>
      <c r="H21" s="20"/>
      <c r="O21" s="25"/>
      <c r="P21" s="7">
        <v>0.7</v>
      </c>
      <c r="Q21" s="164">
        <f>M88/K55</f>
        <v>1.2908046145702463</v>
      </c>
      <c r="R21" s="119">
        <f>$Q$21*P21*7850/1000</f>
        <v>7.0929713570635027</v>
      </c>
      <c r="W21" s="20"/>
      <c r="X21" s="158"/>
      <c r="Y21" s="51"/>
      <c r="Z21" s="20"/>
      <c r="AI21" s="20"/>
      <c r="AJ21" s="53"/>
    </row>
    <row r="22" spans="1:38" x14ac:dyDescent="0.3">
      <c r="B22" s="230"/>
      <c r="C22" s="235"/>
      <c r="D22" s="235"/>
      <c r="E22" s="230"/>
      <c r="F22" s="230"/>
      <c r="O22" s="27"/>
      <c r="P22" s="7">
        <v>0.75</v>
      </c>
      <c r="R22" s="119">
        <f t="shared" ref="R22:R27" si="0">$Q$21*P22*7850/1000</f>
        <v>7.5996121682823254</v>
      </c>
      <c r="W22" s="20"/>
      <c r="X22" s="158"/>
      <c r="Y22" s="51"/>
      <c r="Z22" s="20"/>
      <c r="AI22" s="20"/>
      <c r="AJ22" s="53"/>
    </row>
    <row r="23" spans="1:38" ht="16.2" x14ac:dyDescent="0.35">
      <c r="B23" s="231" t="s">
        <v>429</v>
      </c>
      <c r="C23" s="230"/>
      <c r="D23" s="230"/>
      <c r="E23" s="240" t="s">
        <v>417</v>
      </c>
      <c r="F23" s="241" t="s">
        <v>433</v>
      </c>
      <c r="J23" s="6" t="s">
        <v>0</v>
      </c>
      <c r="K23" s="7" t="s">
        <v>19</v>
      </c>
      <c r="L23" s="17" t="s">
        <v>244</v>
      </c>
      <c r="M23" s="7" t="s">
        <v>13</v>
      </c>
      <c r="N23" s="7" t="s">
        <v>14</v>
      </c>
      <c r="O23" s="27"/>
      <c r="P23" s="7">
        <v>0.88</v>
      </c>
      <c r="Q23" s="165"/>
      <c r="R23" s="119">
        <f t="shared" si="0"/>
        <v>8.9168782774512625</v>
      </c>
      <c r="W23" s="20"/>
      <c r="X23" s="158"/>
      <c r="Y23" s="51"/>
      <c r="Z23" s="20"/>
      <c r="AI23" s="20"/>
      <c r="AJ23" s="20"/>
    </row>
    <row r="24" spans="1:38" ht="15.6" x14ac:dyDescent="0.35">
      <c r="B24" s="232" t="s">
        <v>430</v>
      </c>
      <c r="C24" s="245">
        <f>G152</f>
        <v>470.5616719711025</v>
      </c>
      <c r="D24" s="239" t="s">
        <v>3</v>
      </c>
      <c r="E24" s="240" t="s">
        <v>434</v>
      </c>
      <c r="F24" s="242">
        <v>40</v>
      </c>
      <c r="J24" s="6"/>
      <c r="K24" s="7" t="s">
        <v>7</v>
      </c>
      <c r="L24" s="7" t="s">
        <v>7</v>
      </c>
      <c r="M24" s="7" t="s">
        <v>8</v>
      </c>
      <c r="N24" s="7" t="s">
        <v>8</v>
      </c>
      <c r="O24" s="27"/>
      <c r="P24" s="9">
        <v>1</v>
      </c>
      <c r="Q24" s="165"/>
      <c r="R24" s="9">
        <f t="shared" si="0"/>
        <v>10.132816224376432</v>
      </c>
      <c r="W24" s="20"/>
      <c r="X24" s="30"/>
      <c r="Y24" s="30"/>
      <c r="Z24" s="20"/>
      <c r="AI24" s="20"/>
      <c r="AJ24" s="25"/>
    </row>
    <row r="25" spans="1:38" ht="15.6" x14ac:dyDescent="0.35">
      <c r="B25" s="232" t="s">
        <v>431</v>
      </c>
      <c r="C25" s="245">
        <f>F152</f>
        <v>234.93512909443791</v>
      </c>
      <c r="D25" s="239" t="s">
        <v>3</v>
      </c>
      <c r="E25" s="240" t="s">
        <v>435</v>
      </c>
      <c r="F25" s="242">
        <v>80</v>
      </c>
      <c r="G25" s="57"/>
      <c r="H25" s="57"/>
      <c r="I25" s="57"/>
      <c r="J25" s="150">
        <v>1</v>
      </c>
      <c r="K25" s="9">
        <f>$O$5*$C$8/2</f>
        <v>0.30094464186398007</v>
      </c>
      <c r="L25" s="9">
        <f>$O$5*$C$8/2</f>
        <v>0.30094464186398007</v>
      </c>
      <c r="M25" s="9">
        <f>0.125*O5*C8^2</f>
        <v>0.37618080232997514</v>
      </c>
      <c r="N25" s="9">
        <v>0</v>
      </c>
      <c r="O25" s="27"/>
      <c r="P25" s="9">
        <v>1.2</v>
      </c>
      <c r="Q25" s="165"/>
      <c r="R25" s="9">
        <f t="shared" si="0"/>
        <v>12.159379469251718</v>
      </c>
      <c r="W25" s="20"/>
      <c r="X25" s="47"/>
      <c r="Y25" s="30"/>
      <c r="Z25" s="20"/>
      <c r="AI25" s="20"/>
      <c r="AJ25" s="47"/>
    </row>
    <row r="26" spans="1:38" x14ac:dyDescent="0.3">
      <c r="B26" s="230"/>
      <c r="C26" s="230"/>
      <c r="D26" s="230"/>
      <c r="E26" s="230"/>
      <c r="F26" s="230"/>
      <c r="G26" s="180"/>
      <c r="J26" s="150">
        <v>2</v>
      </c>
      <c r="K26" s="9">
        <f>1.25*O5*C8</f>
        <v>0.75236160465995017</v>
      </c>
      <c r="L26" s="9">
        <f>0.375*$O$5*$C$8</f>
        <v>0.22570848139798508</v>
      </c>
      <c r="M26" s="9">
        <f>0.0703*O5*C8^2</f>
        <v>0.21156408323037801</v>
      </c>
      <c r="N26" s="9">
        <f>-0.125*O5*C8^2</f>
        <v>-0.37618080232997514</v>
      </c>
      <c r="O26" s="27"/>
      <c r="P26" s="167">
        <v>1.25</v>
      </c>
      <c r="R26" s="9">
        <f t="shared" si="0"/>
        <v>12.666020280470542</v>
      </c>
      <c r="T26" s="47"/>
      <c r="U26" s="20"/>
      <c r="V26" s="20"/>
      <c r="W26" s="20"/>
      <c r="X26" s="20"/>
      <c r="Y26" s="20"/>
      <c r="Z26" s="20"/>
      <c r="AI26" s="20"/>
      <c r="AJ26" s="53"/>
    </row>
    <row r="27" spans="1:38" x14ac:dyDescent="0.3">
      <c r="B27" s="57"/>
      <c r="C27" s="57"/>
      <c r="D27" s="57"/>
      <c r="E27" s="57"/>
      <c r="F27" s="57"/>
      <c r="G27" s="57"/>
      <c r="J27" s="150">
        <v>3</v>
      </c>
      <c r="K27" s="9">
        <f>1.1*O5*C8</f>
        <v>0.66207821210075624</v>
      </c>
      <c r="L27" s="9">
        <f>0.4*$O$5*$C$8</f>
        <v>0.24075571349118408</v>
      </c>
      <c r="M27" s="9">
        <f>0.08*O5*C8^2</f>
        <v>0.24075571349118408</v>
      </c>
      <c r="N27" s="9">
        <f>-0.1*O5*C8^2</f>
        <v>-0.30094464186398012</v>
      </c>
      <c r="P27" s="9">
        <v>1.5</v>
      </c>
      <c r="Q27" s="166"/>
      <c r="R27" s="9">
        <f t="shared" si="0"/>
        <v>15.199224336564651</v>
      </c>
      <c r="T27" s="53"/>
      <c r="U27" s="69"/>
      <c r="V27" s="20"/>
      <c r="W27" s="20"/>
      <c r="X27" s="20"/>
      <c r="Y27" s="20"/>
      <c r="Z27" s="20"/>
      <c r="AB27" s="53"/>
      <c r="AC27" s="20"/>
      <c r="AD27" s="20"/>
      <c r="AE27" s="20"/>
      <c r="AF27" s="20"/>
      <c r="AG27" s="20"/>
      <c r="AH27" s="20"/>
      <c r="AI27" s="20"/>
      <c r="AJ27" s="53"/>
    </row>
    <row r="28" spans="1:38" hidden="1" x14ac:dyDescent="0.3">
      <c r="A28" s="30"/>
      <c r="B28" s="57"/>
      <c r="C28" s="57"/>
      <c r="D28" s="57"/>
      <c r="E28" s="57"/>
      <c r="F28" s="57"/>
      <c r="G28" s="180"/>
      <c r="J28" s="150">
        <v>4</v>
      </c>
      <c r="K28" s="9">
        <f>1.143*O5*C8</f>
        <v>0.68795945130105851</v>
      </c>
      <c r="L28" s="9">
        <f>0.393*$O$5*$C$8</f>
        <v>0.23654248850508836</v>
      </c>
      <c r="M28" s="9">
        <f>0.0772*O5*C8^2</f>
        <v>0.23232926351899266</v>
      </c>
      <c r="N28" s="9">
        <f>-0.1071*O5*C8^2</f>
        <v>-0.3223117114363227</v>
      </c>
      <c r="P28" s="27"/>
      <c r="Q28" s="20"/>
      <c r="R28" s="27"/>
      <c r="AA28" s="51"/>
      <c r="AB28" s="53"/>
      <c r="AC28" s="20"/>
      <c r="AD28" s="74"/>
      <c r="AE28" s="20"/>
      <c r="AF28" s="20"/>
      <c r="AG28" s="20"/>
      <c r="AH28" s="20"/>
      <c r="AI28" s="20"/>
      <c r="AJ28" s="53"/>
    </row>
    <row r="29" spans="1:38" hidden="1" x14ac:dyDescent="0.3">
      <c r="A29" s="30"/>
      <c r="F29" s="51"/>
      <c r="G29" s="30"/>
      <c r="J29" s="150">
        <v>5</v>
      </c>
      <c r="K29" s="9">
        <f>1.132*O5*C8</f>
        <v>0.68133866918005093</v>
      </c>
      <c r="L29" s="9">
        <f>0.395*$O$5*$C$8</f>
        <v>0.23774626707254429</v>
      </c>
      <c r="M29" s="9">
        <f>0.0779*O5*C8^2</f>
        <v>0.23443587601204049</v>
      </c>
      <c r="N29" s="9">
        <f>-0.1053*O5*C8^2</f>
        <v>-0.31689470788277108</v>
      </c>
      <c r="O29" s="20"/>
      <c r="P29" s="20"/>
      <c r="Q29" s="20"/>
      <c r="R29" s="20"/>
      <c r="AA29" s="51"/>
      <c r="AB29" s="53"/>
      <c r="AC29" s="20"/>
      <c r="AD29" s="20"/>
      <c r="AE29" s="20"/>
      <c r="AF29" s="20"/>
      <c r="AG29" s="20"/>
      <c r="AH29" s="20"/>
      <c r="AI29" s="20"/>
      <c r="AJ29" s="53"/>
    </row>
    <row r="30" spans="1:38" hidden="1" x14ac:dyDescent="0.3">
      <c r="A30" s="30"/>
      <c r="B30" s="57"/>
      <c r="F30" s="30"/>
      <c r="G30" s="174"/>
      <c r="K30" s="23"/>
      <c r="L30" s="20"/>
      <c r="M30" s="20"/>
      <c r="P30" s="25"/>
      <c r="Q30" s="20"/>
      <c r="R30" s="20"/>
      <c r="AA30" s="51"/>
      <c r="AB30" s="53"/>
      <c r="AC30" s="71"/>
      <c r="AD30" s="20"/>
      <c r="AE30" s="20"/>
      <c r="AF30" s="20"/>
      <c r="AG30" s="20"/>
      <c r="AH30" s="20"/>
      <c r="AI30" s="20"/>
      <c r="AJ30" s="53"/>
      <c r="AK30" s="20"/>
      <c r="AL30" s="20"/>
    </row>
    <row r="31" spans="1:38" hidden="1" x14ac:dyDescent="0.3">
      <c r="A31" s="30"/>
      <c r="F31" s="51"/>
      <c r="G31" s="30"/>
      <c r="J31" s="48">
        <f>IF(C12="Позитиван",1,2)</f>
        <v>2</v>
      </c>
      <c r="K31" s="151" t="s">
        <v>11</v>
      </c>
      <c r="L31" s="25"/>
      <c r="M31" s="25"/>
      <c r="N31" s="25"/>
      <c r="O31" s="25"/>
      <c r="P31" s="25"/>
      <c r="Q31" s="21"/>
      <c r="AA31" s="30"/>
      <c r="AB31" s="20"/>
      <c r="AC31" s="25"/>
      <c r="AD31" s="25"/>
      <c r="AE31" s="25"/>
      <c r="AF31" s="25"/>
      <c r="AG31" s="25"/>
      <c r="AH31" s="25"/>
      <c r="AI31" s="21"/>
      <c r="AJ31" s="21"/>
      <c r="AK31" s="47"/>
      <c r="AL31" s="47"/>
    </row>
    <row r="32" spans="1:38" hidden="1" x14ac:dyDescent="0.3">
      <c r="A32" s="30"/>
      <c r="H32" s="57"/>
      <c r="I32" s="57"/>
      <c r="J32" s="48"/>
      <c r="K32" s="151" t="s">
        <v>12</v>
      </c>
      <c r="L32" s="25"/>
      <c r="M32" s="27"/>
      <c r="N32" s="27"/>
      <c r="O32" s="27"/>
      <c r="P32" s="27"/>
      <c r="Q32" s="27"/>
      <c r="AA32" s="30"/>
      <c r="AB32" s="20"/>
      <c r="AC32" s="25"/>
      <c r="AD32" s="25"/>
      <c r="AE32" s="27"/>
      <c r="AF32" s="27"/>
      <c r="AG32" s="27"/>
      <c r="AH32" s="27"/>
      <c r="AI32" s="27"/>
      <c r="AJ32" s="27"/>
      <c r="AK32" s="51"/>
      <c r="AL32" s="27"/>
    </row>
    <row r="33" spans="2:38" hidden="1" x14ac:dyDescent="0.3">
      <c r="B33" s="187"/>
      <c r="G33" s="180"/>
      <c r="L33" s="25"/>
      <c r="M33" s="27"/>
      <c r="N33" s="27"/>
      <c r="O33" s="27"/>
      <c r="P33" s="27"/>
      <c r="Q33" s="27"/>
      <c r="AA33" s="47"/>
      <c r="AB33" s="20"/>
      <c r="AC33" s="25"/>
      <c r="AD33" s="25"/>
      <c r="AE33" s="27"/>
      <c r="AF33" s="27"/>
      <c r="AG33" s="27"/>
      <c r="AH33" s="27"/>
      <c r="AI33" s="27"/>
      <c r="AJ33" s="27"/>
      <c r="AK33" s="20"/>
      <c r="AL33" s="27"/>
    </row>
    <row r="34" spans="2:38" hidden="1" x14ac:dyDescent="0.3">
      <c r="B34" s="187"/>
      <c r="G34" s="180"/>
      <c r="J34" s="150" t="s">
        <v>29</v>
      </c>
      <c r="K34" s="7" t="s">
        <v>302</v>
      </c>
      <c r="L34" s="7" t="s">
        <v>303</v>
      </c>
      <c r="M34" s="7" t="s">
        <v>304</v>
      </c>
      <c r="N34" s="32" t="s">
        <v>305</v>
      </c>
      <c r="O34" s="32" t="s">
        <v>306</v>
      </c>
      <c r="P34" s="32" t="s">
        <v>307</v>
      </c>
      <c r="Q34" s="27"/>
      <c r="W34" s="20"/>
      <c r="AA34" s="51"/>
      <c r="AB34" s="20"/>
      <c r="AC34" s="25"/>
      <c r="AD34" s="25"/>
      <c r="AE34" s="27"/>
      <c r="AF34" s="27"/>
      <c r="AG34" s="27"/>
      <c r="AH34" s="27"/>
      <c r="AI34" s="27"/>
      <c r="AJ34" s="27"/>
      <c r="AK34" s="51"/>
      <c r="AL34" s="27"/>
    </row>
    <row r="35" spans="2:38" hidden="1" x14ac:dyDescent="0.3">
      <c r="B35" s="184"/>
      <c r="G35" s="184"/>
      <c r="I35" s="30"/>
      <c r="J35" s="183">
        <f>IF(C6=0.7,0.7,IF(C6=0.75,0.75,IF(C6=0.88,0.88,IF(C6=1,1,IF(C6=1.2,1.2,IF(C6=1.25,1.25,IF(6=1.5,1.5)))))))</f>
        <v>0.88</v>
      </c>
      <c r="K35" s="9">
        <f>IF(C6=0.7,P92,IF(C6=0.75,P92,IF(C6=0.88,P92,IF(C6=1,P92,IF(C6=1.2,P92,IF(C6=1.25,P92,IF(C6=1.5,P92)))))))</f>
        <v>112.77080269568964</v>
      </c>
      <c r="L35" s="149">
        <f>5*O4*O6^4/(384*K35*K36)</f>
        <v>0.30641898458167999</v>
      </c>
      <c r="M35" s="149">
        <f>0.0054*O4*O6^4/(K35*K36)</f>
        <v>0.12707808128571435</v>
      </c>
      <c r="N35" s="149">
        <f>0.0068*O4*O6^4/(K35*K36)</f>
        <v>0.16002425050793659</v>
      </c>
      <c r="O35" s="149">
        <f>0.0065*O4*O6^4/(K35*K36)</f>
        <v>0.15296435710317463</v>
      </c>
      <c r="P35" s="149">
        <f>0.0065*O4*O6^4/(K35*K36)</f>
        <v>0.15296435710317463</v>
      </c>
      <c r="Q35" s="27"/>
      <c r="V35" s="20"/>
      <c r="W35" s="30"/>
      <c r="X35" s="30"/>
      <c r="Y35" s="30"/>
      <c r="Z35" s="30"/>
      <c r="AA35" s="30"/>
      <c r="AB35" s="20"/>
      <c r="AC35" s="25"/>
      <c r="AD35" s="25"/>
      <c r="AE35" s="27"/>
      <c r="AF35" s="27"/>
      <c r="AG35" s="27"/>
      <c r="AH35" s="27"/>
      <c r="AI35" s="27"/>
      <c r="AJ35" s="27"/>
      <c r="AK35" s="20"/>
      <c r="AL35" s="27"/>
    </row>
    <row r="36" spans="2:38" hidden="1" x14ac:dyDescent="0.3">
      <c r="F36" s="182"/>
      <c r="G36" s="47"/>
      <c r="H36" s="30"/>
      <c r="I36" s="30"/>
      <c r="J36" s="21" t="s">
        <v>5</v>
      </c>
      <c r="K36" s="24">
        <v>21000000</v>
      </c>
      <c r="P36" s="130"/>
      <c r="Q36" s="27"/>
      <c r="V36" s="20"/>
      <c r="W36" s="30"/>
      <c r="X36" s="47"/>
      <c r="Y36" s="47"/>
      <c r="Z36" s="30"/>
      <c r="AA36" s="30"/>
      <c r="AB36" s="20"/>
      <c r="AC36" s="27"/>
      <c r="AD36" s="25"/>
      <c r="AE36" s="27"/>
      <c r="AF36" s="27"/>
      <c r="AG36" s="27"/>
      <c r="AH36" s="27"/>
      <c r="AI36" s="27"/>
      <c r="AJ36" s="27"/>
      <c r="AK36" s="51"/>
      <c r="AL36" s="27"/>
    </row>
    <row r="37" spans="2:38" hidden="1" x14ac:dyDescent="0.3">
      <c r="F37" s="47"/>
      <c r="G37" s="30"/>
      <c r="H37" s="30"/>
      <c r="I37" s="30"/>
      <c r="Q37" s="27"/>
      <c r="V37" s="20"/>
      <c r="W37" s="30"/>
      <c r="X37" s="51"/>
      <c r="Y37" s="51"/>
      <c r="Z37" s="30"/>
      <c r="AA37" s="30"/>
      <c r="AB37" s="20"/>
      <c r="AC37" s="25"/>
      <c r="AD37" s="25"/>
      <c r="AE37" s="27"/>
      <c r="AF37" s="27"/>
      <c r="AG37" s="27"/>
      <c r="AH37" s="27"/>
      <c r="AI37" s="27"/>
      <c r="AJ37" s="27"/>
      <c r="AK37" s="20"/>
      <c r="AL37" s="27"/>
    </row>
    <row r="38" spans="2:38" hidden="1" x14ac:dyDescent="0.3">
      <c r="F38" s="51"/>
      <c r="H38" s="30"/>
      <c r="I38" s="30"/>
      <c r="J38" s="116" t="s">
        <v>21</v>
      </c>
      <c r="K38" s="29" t="s">
        <v>29</v>
      </c>
      <c r="L38" s="7" t="s">
        <v>30</v>
      </c>
      <c r="M38" s="7" t="s">
        <v>31</v>
      </c>
      <c r="N38" s="17" t="s">
        <v>32</v>
      </c>
      <c r="O38" s="7" t="s">
        <v>29</v>
      </c>
      <c r="P38" s="7" t="s">
        <v>30</v>
      </c>
      <c r="Q38" s="7" t="s">
        <v>31</v>
      </c>
      <c r="V38" s="20"/>
      <c r="W38" s="30"/>
      <c r="X38" s="30"/>
      <c r="Y38" s="30"/>
      <c r="Z38" s="30"/>
      <c r="AA38" s="30"/>
      <c r="AB38" s="20"/>
      <c r="AC38" s="27"/>
      <c r="AD38" s="25"/>
      <c r="AE38" s="27"/>
      <c r="AF38" s="27"/>
      <c r="AG38" s="27"/>
      <c r="AH38" s="27"/>
      <c r="AI38" s="27"/>
      <c r="AJ38" s="27"/>
      <c r="AK38" s="51"/>
      <c r="AL38" s="27"/>
    </row>
    <row r="39" spans="2:38" hidden="1" x14ac:dyDescent="0.3">
      <c r="F39" s="51"/>
      <c r="G39" s="47"/>
      <c r="H39" s="58"/>
      <c r="I39" s="30"/>
      <c r="J39" s="40"/>
      <c r="K39" s="119">
        <v>0.7</v>
      </c>
      <c r="L39" s="120">
        <f>IF(AND($C$5=320,$C$6=0.7),$M$185,0)</f>
        <v>0</v>
      </c>
      <c r="M39" s="120">
        <f>IF(AND($C$5=320,$C$6=0.7),$M$238,0)</f>
        <v>0</v>
      </c>
      <c r="N39" s="121"/>
      <c r="O39" s="9">
        <v>0.7</v>
      </c>
      <c r="P39" s="120">
        <f>IF(AND($C$5=280,$C$6=0.7),$M$185,0)</f>
        <v>0</v>
      </c>
      <c r="Q39" s="120">
        <f>IF(AND($C$5=280,$C$6=0.7),$M$238,0)</f>
        <v>0</v>
      </c>
      <c r="V39" s="20"/>
      <c r="W39" s="20"/>
      <c r="X39" s="20"/>
      <c r="Y39" s="20"/>
      <c r="Z39" s="20"/>
      <c r="AA39" s="20"/>
      <c r="AB39" s="20"/>
      <c r="AC39" s="27"/>
      <c r="AD39" s="25"/>
      <c r="AE39" s="27"/>
      <c r="AF39" s="27"/>
      <c r="AG39" s="27"/>
      <c r="AH39" s="27"/>
      <c r="AI39" s="27"/>
      <c r="AJ39" s="27"/>
      <c r="AK39" s="20"/>
      <c r="AL39" s="27"/>
    </row>
    <row r="40" spans="2:38" hidden="1" x14ac:dyDescent="0.3">
      <c r="F40" s="30"/>
      <c r="G40" s="30"/>
      <c r="H40" s="30"/>
      <c r="I40" s="30"/>
      <c r="J40" s="40"/>
      <c r="K40" s="119">
        <v>0.75</v>
      </c>
      <c r="L40" s="120">
        <f>IF(AND($C$5=320,$C$6=0.75),$M$185,0)</f>
        <v>0</v>
      </c>
      <c r="M40" s="120">
        <f>IF(AND($C$5=320,$C$6=0.75),$M$238,0)</f>
        <v>0</v>
      </c>
      <c r="N40" s="121"/>
      <c r="O40" s="9">
        <v>0.75</v>
      </c>
      <c r="P40" s="120">
        <f>IF(AND($C$5=280,$C$6=0.75),$M$185,0)</f>
        <v>0</v>
      </c>
      <c r="Q40" s="120">
        <f>IF(AND($C$5=280,$C$6=0.75),$M$238,0)</f>
        <v>0</v>
      </c>
      <c r="V40" s="20"/>
      <c r="W40" s="20"/>
      <c r="X40" s="20"/>
      <c r="Y40" s="20"/>
      <c r="Z40" s="20"/>
      <c r="AA40" s="20"/>
      <c r="AB40" s="20"/>
      <c r="AC40" s="27"/>
      <c r="AD40" s="25"/>
      <c r="AE40" s="27"/>
      <c r="AF40" s="27"/>
      <c r="AG40" s="27"/>
      <c r="AH40" s="27"/>
      <c r="AI40" s="27"/>
      <c r="AJ40" s="27"/>
      <c r="AK40" s="51"/>
      <c r="AL40" s="27"/>
    </row>
    <row r="41" spans="2:38" hidden="1" x14ac:dyDescent="0.3">
      <c r="F41" s="51"/>
      <c r="G41" s="30"/>
      <c r="H41" s="30"/>
      <c r="I41" s="30"/>
      <c r="J41" s="40"/>
      <c r="K41" s="119">
        <v>0.88</v>
      </c>
      <c r="L41" s="120">
        <f>IF(AND($C$5=320,$C$6=0.88),$M$185,0)</f>
        <v>0</v>
      </c>
      <c r="M41" s="120">
        <f>IF(AND($C$5=320,$C$6=0.88),$M$238,0)</f>
        <v>0</v>
      </c>
      <c r="N41" s="121"/>
      <c r="O41" s="9">
        <v>0.88</v>
      </c>
      <c r="P41" s="120">
        <f>IF(AND($C$5=280,$C$6=0.88),$M$185,0)</f>
        <v>10.289398910912288</v>
      </c>
      <c r="Q41" s="120">
        <f>IF(AND($C$5=280,$C$6=0.88),$M$238,0)</f>
        <v>6.0433634422642273</v>
      </c>
      <c r="R41" s="25"/>
      <c r="AB41" s="20"/>
      <c r="AC41" s="25"/>
      <c r="AD41" s="25"/>
      <c r="AE41" s="27"/>
      <c r="AF41" s="27"/>
      <c r="AG41" s="27"/>
      <c r="AH41" s="27"/>
      <c r="AI41" s="27"/>
      <c r="AJ41" s="27"/>
      <c r="AK41" s="20"/>
      <c r="AL41" s="20"/>
    </row>
    <row r="42" spans="2:38" hidden="1" x14ac:dyDescent="0.3">
      <c r="F42" s="51"/>
      <c r="G42" s="47"/>
      <c r="H42" s="58"/>
      <c r="I42" s="30"/>
      <c r="J42" s="40"/>
      <c r="K42" s="119">
        <v>1</v>
      </c>
      <c r="L42" s="120">
        <f>IF(AND($C$5=320,$C$6=1),$M$185,0)</f>
        <v>0</v>
      </c>
      <c r="M42" s="120">
        <f>IF(AND($C$5=320,$C$6=1),$M$238,0)</f>
        <v>0</v>
      </c>
      <c r="N42" s="121"/>
      <c r="O42" s="9">
        <v>1</v>
      </c>
      <c r="P42" s="120">
        <f>IF(AND($C$5=280,$C$6=1),$M$185,0)</f>
        <v>0</v>
      </c>
      <c r="Q42" s="120">
        <f>IF(AND($C$5=280,$C$6=1),$M$238,0)</f>
        <v>0</v>
      </c>
      <c r="R42" s="25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</row>
    <row r="43" spans="2:38" hidden="1" x14ac:dyDescent="0.3">
      <c r="F43" s="30"/>
      <c r="G43" s="30"/>
      <c r="H43" s="30"/>
      <c r="I43" s="30"/>
      <c r="J43" s="20"/>
      <c r="K43" s="9">
        <v>1.2</v>
      </c>
      <c r="L43" s="120">
        <f>IF(AND($C$5=320,$C$6=1.2),$M$185,0)</f>
        <v>0</v>
      </c>
      <c r="M43" s="120">
        <f>IF(AND($C$5=320,$C$6=1.2),$M$238,0)</f>
        <v>0</v>
      </c>
      <c r="N43" s="122"/>
      <c r="O43" s="9">
        <v>1.2</v>
      </c>
      <c r="P43" s="120">
        <f>IF(AND($C$5=280,$C$6=1.2),$M$185,0)</f>
        <v>0</v>
      </c>
      <c r="Q43" s="120">
        <f>IF(AND($C$5=280,$C$6=1.2),$M$238,0)</f>
        <v>0</v>
      </c>
      <c r="R43" s="25"/>
      <c r="T43" s="58"/>
      <c r="AB43" s="20"/>
      <c r="AC43" s="25"/>
      <c r="AD43" s="25"/>
      <c r="AE43" s="25"/>
      <c r="AF43" s="25"/>
      <c r="AG43" s="25"/>
      <c r="AH43" s="25"/>
      <c r="AI43" s="25"/>
      <c r="AJ43" s="25"/>
      <c r="AK43" s="20"/>
      <c r="AL43" s="58"/>
    </row>
    <row r="44" spans="2:38" hidden="1" x14ac:dyDescent="0.3">
      <c r="F44" s="30"/>
      <c r="G44" s="30"/>
      <c r="H44" s="30"/>
      <c r="I44" s="30"/>
      <c r="J44" s="20"/>
      <c r="K44" s="9">
        <v>1.25</v>
      </c>
      <c r="L44" s="120">
        <f>IF(AND($C$5=320,$C$6=1.25),$M$185,0)</f>
        <v>0</v>
      </c>
      <c r="M44" s="120">
        <f>IF(AND($C$5=320,$C$6=1.25),$M$238,0)</f>
        <v>0</v>
      </c>
      <c r="N44" s="122"/>
      <c r="O44" s="9">
        <v>1.25</v>
      </c>
      <c r="P44" s="120">
        <f>IF(AND($C$5=280,$C$6=1.25),$M$185,0)</f>
        <v>0</v>
      </c>
      <c r="Q44" s="120">
        <f>IF(AND($C$5=280,$C$6=1.25),$M$238,0)</f>
        <v>0</v>
      </c>
      <c r="T44" s="59"/>
      <c r="V44" s="3"/>
      <c r="W44" s="31"/>
      <c r="AB44" s="20"/>
      <c r="AC44" s="20"/>
      <c r="AD44" s="27"/>
      <c r="AE44" s="27"/>
      <c r="AF44" s="27"/>
      <c r="AG44" s="20"/>
      <c r="AH44" s="27"/>
      <c r="AI44" s="27"/>
      <c r="AJ44" s="27"/>
      <c r="AK44" s="20"/>
      <c r="AL44" s="71"/>
    </row>
    <row r="45" spans="2:38" hidden="1" x14ac:dyDescent="0.3">
      <c r="F45" s="51"/>
      <c r="G45" s="47"/>
      <c r="H45" s="58"/>
      <c r="I45" s="30"/>
      <c r="K45" s="119">
        <v>1.5</v>
      </c>
      <c r="L45" s="120">
        <f>IF(AND($C$5=320,$C$6=1.5),$M$185,0)</f>
        <v>0</v>
      </c>
      <c r="M45" s="120">
        <f>IF(AND($C$5=320,$C$6=1.5),$M$238,0)</f>
        <v>0</v>
      </c>
      <c r="N45" s="133"/>
      <c r="O45" s="9">
        <v>1.5</v>
      </c>
      <c r="P45" s="120">
        <f>IF(AND($C$5=280,$C$6=1.5),$M$185,0)</f>
        <v>0</v>
      </c>
      <c r="Q45" s="120">
        <f>IF(AND($C$5=280,$C$6=1.5),$M$238,0)</f>
        <v>0</v>
      </c>
      <c r="AB45" s="20"/>
      <c r="AC45" s="20"/>
      <c r="AD45" s="27"/>
      <c r="AE45" s="27"/>
      <c r="AF45" s="27"/>
      <c r="AG45" s="20"/>
      <c r="AH45" s="27"/>
      <c r="AI45" s="27"/>
      <c r="AJ45" s="27"/>
      <c r="AK45" s="20"/>
      <c r="AL45" s="20"/>
    </row>
    <row r="46" spans="2:38" hidden="1" x14ac:dyDescent="0.3">
      <c r="B46" s="20"/>
      <c r="F46" s="30"/>
      <c r="G46" s="30"/>
      <c r="H46" s="30"/>
      <c r="I46" s="30"/>
      <c r="K46" s="95"/>
      <c r="L46" s="120">
        <f>IF($C$6=0.7,L39,IF($C$6=0.75,L40,IF($C$6=0.88,L41,IF($C$6=1,L42,IF($C$6=1.2,L43,IF($C$6=1.25,L45,IF($C$6=1.5,L45)))))))</f>
        <v>0</v>
      </c>
      <c r="M46" s="120">
        <f>IF($C$6=0.7,M39,IF($C$6=0.75,M40,IF($C$6=0.88,M41,IF($C$6=1,M42,IF($C$6=1.2,M43,IF($C$6=1.25,M45,IF($C$6=1.5,M45)))))))</f>
        <v>0</v>
      </c>
      <c r="N46" s="95"/>
      <c r="O46" s="95"/>
      <c r="P46" s="120">
        <f>IF($C$6=0.7,P39,IF($C$6=0.75,P40,IF($C$6=0.88,P41,IF($C$6=1,P42,IF($C$6=1.2,P43,IF($C$6=1.25,P44,IF($C$6=1.5,P45)))))))</f>
        <v>10.289398910912288</v>
      </c>
      <c r="Q46" s="120">
        <f>IF($C$6=0.7,Q39,IF($C$6=0.75,Q40,IF($C$6=0.88,Q41,IF($C$6=1,Q42,IF($C$6=1.2,Q43,IF($C$6=1.25,Q44,IF($C$6=1.5,Q45)))))))</f>
        <v>6.0433634422642273</v>
      </c>
      <c r="AB46" s="20"/>
      <c r="AC46" s="20"/>
      <c r="AD46" s="27"/>
      <c r="AE46" s="27"/>
      <c r="AF46" s="27"/>
      <c r="AG46" s="20"/>
      <c r="AH46" s="27"/>
      <c r="AI46" s="27"/>
      <c r="AJ46" s="27"/>
      <c r="AK46" s="20"/>
      <c r="AL46" s="20"/>
    </row>
    <row r="47" spans="2:38" hidden="1" x14ac:dyDescent="0.3">
      <c r="F47" s="30"/>
      <c r="G47" s="30"/>
      <c r="H47" s="30"/>
      <c r="I47" s="30"/>
      <c r="AB47" s="20"/>
      <c r="AC47" s="20"/>
      <c r="AD47" s="27"/>
      <c r="AE47" s="27"/>
      <c r="AF47" s="27"/>
      <c r="AG47" s="20"/>
      <c r="AH47" s="27"/>
      <c r="AI47" s="27"/>
      <c r="AJ47" s="27"/>
      <c r="AK47" s="20"/>
      <c r="AL47" s="20"/>
    </row>
    <row r="48" spans="2:38" hidden="1" x14ac:dyDescent="0.3">
      <c r="AB48" s="20"/>
      <c r="AC48" s="20"/>
      <c r="AD48" s="27"/>
      <c r="AE48" s="27"/>
      <c r="AF48" s="27"/>
      <c r="AG48" s="20"/>
      <c r="AH48" s="27"/>
      <c r="AI48" s="27"/>
      <c r="AJ48" s="27"/>
      <c r="AK48" s="20"/>
      <c r="AL48" s="20"/>
    </row>
    <row r="49" spans="2:38" hidden="1" x14ac:dyDescent="0.3">
      <c r="E49" s="25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</row>
    <row r="50" spans="2:38" hidden="1" x14ac:dyDescent="0.3">
      <c r="E50" s="25"/>
    </row>
    <row r="51" spans="2:38" hidden="1" x14ac:dyDescent="0.3"/>
    <row r="52" spans="2:38" hidden="1" x14ac:dyDescent="0.3">
      <c r="I52" s="20"/>
      <c r="J52" s="75" t="s">
        <v>334</v>
      </c>
    </row>
    <row r="53" spans="2:38" hidden="1" x14ac:dyDescent="0.3">
      <c r="I53" s="20"/>
    </row>
    <row r="54" spans="2:38" hidden="1" x14ac:dyDescent="0.3">
      <c r="B54" s="20"/>
      <c r="C54" s="20"/>
      <c r="D54" s="20"/>
      <c r="E54" s="20"/>
      <c r="F54" s="20"/>
      <c r="J54" s="1" t="s">
        <v>378</v>
      </c>
      <c r="K54" s="34">
        <v>82.5</v>
      </c>
      <c r="M54" s="1" t="s">
        <v>74</v>
      </c>
      <c r="N54" s="34">
        <v>37.5</v>
      </c>
      <c r="P54" s="1" t="s">
        <v>75</v>
      </c>
      <c r="Q54" s="34">
        <v>50</v>
      </c>
    </row>
    <row r="55" spans="2:38" hidden="1" x14ac:dyDescent="0.3">
      <c r="J55" s="1" t="s">
        <v>379</v>
      </c>
      <c r="K55" s="34">
        <v>300</v>
      </c>
      <c r="M55" s="1" t="s">
        <v>76</v>
      </c>
      <c r="N55" s="34">
        <v>50</v>
      </c>
      <c r="P55" s="1" t="s">
        <v>77</v>
      </c>
      <c r="Q55" s="34">
        <v>5</v>
      </c>
    </row>
    <row r="56" spans="2:38" hidden="1" x14ac:dyDescent="0.3">
      <c r="J56" s="1" t="s">
        <v>380</v>
      </c>
      <c r="K56" s="34">
        <v>45</v>
      </c>
      <c r="M56" s="1" t="s">
        <v>78</v>
      </c>
      <c r="N56" s="34">
        <f>C6</f>
        <v>0.88</v>
      </c>
      <c r="P56" s="1" t="s">
        <v>79</v>
      </c>
      <c r="Q56" s="34">
        <v>5</v>
      </c>
      <c r="U56" s="1"/>
      <c r="V56" s="76"/>
      <c r="AC56" s="2"/>
      <c r="AD56" s="2"/>
      <c r="AE56" s="2"/>
      <c r="AF56" s="2"/>
      <c r="AG56" s="2"/>
      <c r="AH56" s="2"/>
    </row>
    <row r="57" spans="2:38" hidden="1" x14ac:dyDescent="0.3">
      <c r="J57" s="1" t="s">
        <v>381</v>
      </c>
      <c r="K57" s="34">
        <v>155</v>
      </c>
      <c r="M57" s="1" t="s">
        <v>80</v>
      </c>
      <c r="N57" s="34">
        <f>5*N56</f>
        <v>4.4000000000000004</v>
      </c>
      <c r="P57" s="1" t="s">
        <v>81</v>
      </c>
      <c r="Q57" s="34">
        <v>5</v>
      </c>
    </row>
    <row r="58" spans="2:38" hidden="1" x14ac:dyDescent="0.3">
      <c r="J58" s="1" t="s">
        <v>382</v>
      </c>
      <c r="K58" s="34">
        <v>210.5</v>
      </c>
      <c r="AF58" s="3"/>
      <c r="AI58" s="3"/>
      <c r="AJ58" s="3"/>
    </row>
    <row r="59" spans="2:38" hidden="1" x14ac:dyDescent="0.3">
      <c r="J59" s="53"/>
      <c r="M59" s="1" t="s">
        <v>82</v>
      </c>
      <c r="N59" s="8">
        <f>C5</f>
        <v>280</v>
      </c>
      <c r="O59" t="s">
        <v>23</v>
      </c>
      <c r="AF59" s="3"/>
      <c r="AI59" s="3"/>
      <c r="AJ59" s="3"/>
    </row>
    <row r="60" spans="2:38" hidden="1" x14ac:dyDescent="0.3">
      <c r="J60" s="53"/>
      <c r="M60" s="1" t="s">
        <v>83</v>
      </c>
      <c r="N60">
        <v>210000</v>
      </c>
      <c r="O60" t="s">
        <v>23</v>
      </c>
      <c r="AF60" s="3"/>
      <c r="AI60" s="3"/>
      <c r="AJ60" s="3"/>
    </row>
    <row r="61" spans="2:38" hidden="1" x14ac:dyDescent="0.3">
      <c r="J61" s="53"/>
      <c r="AE61" s="1"/>
      <c r="AF61" s="3"/>
      <c r="AI61" s="3"/>
      <c r="AJ61" s="3"/>
    </row>
    <row r="62" spans="2:38" hidden="1" x14ac:dyDescent="0.3">
      <c r="J62" s="1" t="s">
        <v>383</v>
      </c>
      <c r="K62" s="76">
        <f>N57+N56/2</f>
        <v>4.8400000000000007</v>
      </c>
      <c r="M62" s="1" t="s">
        <v>84</v>
      </c>
      <c r="N62" s="4">
        <f>K62*(TAN(K63/2)-SIN(K63/2))</f>
        <v>0.39824066142556314</v>
      </c>
      <c r="O62" t="s">
        <v>25</v>
      </c>
      <c r="P62" s="1" t="s">
        <v>85</v>
      </c>
      <c r="Q62" s="76">
        <f>Q54-N56/2</f>
        <v>49.56</v>
      </c>
      <c r="AF62" s="3"/>
      <c r="AI62" s="3"/>
      <c r="AJ62" s="3"/>
    </row>
    <row r="63" spans="2:38" hidden="1" x14ac:dyDescent="0.3">
      <c r="J63" s="1" t="s">
        <v>384</v>
      </c>
      <c r="K63" s="77">
        <f>ATAN((2*(Q54+N56/2)/(K58-K57)))</f>
        <v>1.0678313548996379</v>
      </c>
      <c r="M63" s="1" t="s">
        <v>86</v>
      </c>
      <c r="N63" s="4">
        <f>K57-2*N62</f>
        <v>154.20351867714888</v>
      </c>
      <c r="O63" t="s">
        <v>25</v>
      </c>
      <c r="P63" s="1" t="s">
        <v>87</v>
      </c>
      <c r="Q63" s="4">
        <f>Q62/SIN(K63)</f>
        <v>56.565190222360293</v>
      </c>
      <c r="AD63" s="3"/>
      <c r="AF63" s="3"/>
      <c r="AI63" s="3"/>
      <c r="AJ63" s="3"/>
    </row>
    <row r="64" spans="2:38" hidden="1" x14ac:dyDescent="0.3">
      <c r="J64" s="78" t="s">
        <v>88</v>
      </c>
      <c r="K64" s="79">
        <f>K63*180/PI()</f>
        <v>61.18222986748561</v>
      </c>
      <c r="L64" s="80"/>
      <c r="M64" s="1" t="s">
        <v>89</v>
      </c>
      <c r="N64" s="4">
        <f>N54-N62</f>
        <v>37.101759338574439</v>
      </c>
      <c r="P64" s="1" t="s">
        <v>90</v>
      </c>
      <c r="Q64" s="4">
        <f>Q56*SIN(K63)</f>
        <v>4.3807861164417048</v>
      </c>
    </row>
    <row r="65" spans="10:35" hidden="1" x14ac:dyDescent="0.3">
      <c r="J65" s="1" t="s">
        <v>385</v>
      </c>
      <c r="K65" s="2">
        <f>K54-N56</f>
        <v>81.62</v>
      </c>
      <c r="M65" s="1" t="s">
        <v>91</v>
      </c>
      <c r="N65" s="4">
        <f>(K57-2*N54-N55)/2</f>
        <v>15</v>
      </c>
      <c r="O65" t="s">
        <v>25</v>
      </c>
      <c r="P65" s="1" t="s">
        <v>92</v>
      </c>
      <c r="Q65" s="4">
        <f>SQRT(Q55*Q55+Q56*Q56)</f>
        <v>7.0710678118654755</v>
      </c>
      <c r="Z65" s="57"/>
      <c r="AE65" s="3"/>
    </row>
    <row r="66" spans="10:35" hidden="1" x14ac:dyDescent="0.3">
      <c r="J66" s="1" t="s">
        <v>386</v>
      </c>
      <c r="K66" s="2">
        <f>K65-Q54-Q55</f>
        <v>26.620000000000005</v>
      </c>
      <c r="M66" s="1" t="s">
        <v>93</v>
      </c>
      <c r="N66" s="4">
        <f>K65/SIN(K63)</f>
        <v>93.15679632665551</v>
      </c>
      <c r="O66" t="s">
        <v>25</v>
      </c>
      <c r="P66" s="1" t="s">
        <v>94</v>
      </c>
      <c r="Q66" s="4">
        <f>N65+2*Q57*((SQRT(2)-1))</f>
        <v>19.142135623730951</v>
      </c>
      <c r="Z66" s="57"/>
      <c r="AE66" s="3"/>
    </row>
    <row r="67" spans="10:35" hidden="1" x14ac:dyDescent="0.3">
      <c r="J67" s="20"/>
      <c r="L67" s="27"/>
      <c r="M67" s="4"/>
      <c r="O67" s="1"/>
      <c r="P67" s="2"/>
      <c r="Z67" s="57"/>
      <c r="AE67" s="3"/>
    </row>
    <row r="68" spans="10:35" hidden="1" x14ac:dyDescent="0.3">
      <c r="J68" s="20"/>
      <c r="Z68" s="57"/>
      <c r="AE68" s="3"/>
    </row>
    <row r="69" spans="10:35" hidden="1" x14ac:dyDescent="0.3">
      <c r="J69" s="30"/>
      <c r="L69" s="78" t="s">
        <v>88</v>
      </c>
      <c r="M69" s="79">
        <f>K64</f>
        <v>61.18222986748561</v>
      </c>
      <c r="N69" s="2" t="s">
        <v>95</v>
      </c>
      <c r="O69" s="2" t="s">
        <v>96</v>
      </c>
      <c r="Z69" s="57"/>
    </row>
    <row r="70" spans="10:35" hidden="1" x14ac:dyDescent="0.3">
      <c r="J70" s="47"/>
      <c r="L70" s="1" t="s">
        <v>97</v>
      </c>
      <c r="M70" s="4">
        <f>K65/N56</f>
        <v>92.75</v>
      </c>
      <c r="N70" s="2" t="s">
        <v>98</v>
      </c>
      <c r="O70" t="s">
        <v>99</v>
      </c>
      <c r="P70" s="3">
        <f>500*SIN(K63)</f>
        <v>438.07861164417045</v>
      </c>
      <c r="Z70" s="57"/>
    </row>
    <row r="71" spans="10:35" hidden="1" x14ac:dyDescent="0.3">
      <c r="J71" s="55"/>
      <c r="L71" s="1" t="s">
        <v>100</v>
      </c>
      <c r="M71" s="81">
        <f>N63/N56</f>
        <v>175.23127122403281</v>
      </c>
      <c r="N71" s="82" t="s">
        <v>101</v>
      </c>
      <c r="O71">
        <v>500</v>
      </c>
      <c r="Z71" s="57"/>
      <c r="AG71" s="3"/>
    </row>
    <row r="72" spans="10:35" hidden="1" x14ac:dyDescent="0.3">
      <c r="J72" s="55"/>
      <c r="Z72" s="57"/>
      <c r="AF72" s="59"/>
      <c r="AG72" s="3"/>
    </row>
    <row r="73" spans="10:35" hidden="1" x14ac:dyDescent="0.3">
      <c r="J73" s="55"/>
      <c r="L73" s="1" t="s">
        <v>102</v>
      </c>
      <c r="M73" s="2">
        <f>N57</f>
        <v>4.4000000000000004</v>
      </c>
      <c r="N73" s="82" t="s">
        <v>103</v>
      </c>
      <c r="O73">
        <f>5*N56</f>
        <v>4.4000000000000004</v>
      </c>
      <c r="P73" t="s">
        <v>25</v>
      </c>
      <c r="Z73" s="57"/>
      <c r="AG73" s="3"/>
      <c r="AH73" s="1"/>
      <c r="AI73" s="3"/>
    </row>
    <row r="74" spans="10:35" hidden="1" x14ac:dyDescent="0.3">
      <c r="J74" s="55"/>
      <c r="N74" s="82" t="s">
        <v>104</v>
      </c>
      <c r="O74" s="83">
        <f>0.1*N63</f>
        <v>15.420351867714889</v>
      </c>
      <c r="P74" t="s">
        <v>25</v>
      </c>
      <c r="Z74" s="57"/>
      <c r="AH74" s="1"/>
    </row>
    <row r="75" spans="10:35" hidden="1" x14ac:dyDescent="0.3">
      <c r="J75" s="55"/>
      <c r="O75" s="1" t="s">
        <v>105</v>
      </c>
      <c r="Z75" s="57"/>
    </row>
    <row r="76" spans="10:35" hidden="1" x14ac:dyDescent="0.3">
      <c r="J76" s="30"/>
      <c r="Z76" s="57"/>
    </row>
    <row r="77" spans="10:35" hidden="1" x14ac:dyDescent="0.3">
      <c r="J77" s="30"/>
      <c r="L77" s="1" t="s">
        <v>100</v>
      </c>
      <c r="M77" s="81">
        <f>N63/N56</f>
        <v>175.23127122403281</v>
      </c>
      <c r="O77" s="1" t="s">
        <v>106</v>
      </c>
      <c r="P77" s="83">
        <f>250*N66/N63</f>
        <v>151.02897314829599</v>
      </c>
      <c r="Z77" s="57"/>
    </row>
    <row r="78" spans="10:35" hidden="1" x14ac:dyDescent="0.3">
      <c r="J78" s="47"/>
      <c r="P78" s="1" t="str">
        <f>IF(M77&lt;P77,"Занемарује се ефекат извијања појаса","Додају се ребра за укрућење појаса")</f>
        <v>Додају се ребра за укрућење појаса</v>
      </c>
      <c r="Z78" s="57"/>
    </row>
    <row r="79" spans="10:35" hidden="1" x14ac:dyDescent="0.3">
      <c r="J79" s="51"/>
      <c r="M79" t="s">
        <v>107</v>
      </c>
      <c r="N79" s="4">
        <f>N63/2</f>
        <v>77.101759338574439</v>
      </c>
      <c r="P79" s="1" t="s">
        <v>108</v>
      </c>
      <c r="Q79" s="5">
        <f>4500*0.85/50</f>
        <v>76.5</v>
      </c>
      <c r="Z79" s="57"/>
    </row>
    <row r="80" spans="10:35" hidden="1" x14ac:dyDescent="0.3">
      <c r="J80" s="51"/>
      <c r="P80" s="1" t="s">
        <v>109</v>
      </c>
      <c r="Z80" s="57"/>
    </row>
    <row r="81" spans="10:26" hidden="1" x14ac:dyDescent="0.3">
      <c r="J81" t="s">
        <v>110</v>
      </c>
      <c r="V81" s="3"/>
      <c r="Z81" s="57"/>
    </row>
    <row r="82" spans="10:26" hidden="1" x14ac:dyDescent="0.3">
      <c r="K82" s="2" t="s">
        <v>41</v>
      </c>
      <c r="L82" s="2" t="s">
        <v>111</v>
      </c>
      <c r="M82" s="2" t="s">
        <v>40</v>
      </c>
      <c r="N82" s="2" t="s">
        <v>112</v>
      </c>
      <c r="O82" s="2" t="s">
        <v>113</v>
      </c>
      <c r="P82" s="2" t="s">
        <v>114</v>
      </c>
      <c r="Q82" s="2" t="s">
        <v>115</v>
      </c>
      <c r="R82" s="2" t="s">
        <v>116</v>
      </c>
      <c r="S82" s="5"/>
      <c r="V82" s="3"/>
      <c r="Z82" s="57"/>
    </row>
    <row r="83" spans="10:26" hidden="1" x14ac:dyDescent="0.3">
      <c r="J83">
        <v>1</v>
      </c>
      <c r="K83" s="2">
        <v>2</v>
      </c>
      <c r="L83" s="4">
        <f>K56/2</f>
        <v>22.5</v>
      </c>
      <c r="M83" s="4">
        <f>L83*K83</f>
        <v>45</v>
      </c>
      <c r="N83" s="4">
        <f>K65</f>
        <v>81.62</v>
      </c>
      <c r="O83" s="79">
        <f>M83*N83</f>
        <v>3672.9</v>
      </c>
      <c r="P83" s="3">
        <f>O83*N83</f>
        <v>299782.098</v>
      </c>
      <c r="Q83" s="1">
        <v>0</v>
      </c>
      <c r="R83" s="84">
        <f>M83*Q83*Q83/12</f>
        <v>0</v>
      </c>
      <c r="V83" s="3"/>
      <c r="Z83" s="57"/>
    </row>
    <row r="84" spans="10:26" hidden="1" x14ac:dyDescent="0.3">
      <c r="J84">
        <v>2</v>
      </c>
      <c r="K84" s="2">
        <v>2</v>
      </c>
      <c r="L84" s="4">
        <f>K66/SIN(K63)</f>
        <v>30.382674812736706</v>
      </c>
      <c r="M84" s="4">
        <f t="shared" ref="M84:M87" si="1">L84*K84</f>
        <v>60.765349625473412</v>
      </c>
      <c r="N84" s="4">
        <f>K65-K66/2</f>
        <v>68.31</v>
      </c>
      <c r="O84" s="79">
        <f t="shared" ref="O84:O87" si="2">M84*N84</f>
        <v>4150.8810329160888</v>
      </c>
      <c r="P84" s="3">
        <f t="shared" ref="P84:P87" si="3">O84*N84</f>
        <v>283546.68335849803</v>
      </c>
      <c r="Q84" s="1">
        <f>K66</f>
        <v>26.620000000000005</v>
      </c>
      <c r="R84" s="84">
        <f t="shared" ref="R84:R87" si="4">M84*Q84*Q84/12</f>
        <v>3588.3174515951109</v>
      </c>
      <c r="V84" s="3"/>
      <c r="Z84" s="57"/>
    </row>
    <row r="85" spans="10:26" hidden="1" x14ac:dyDescent="0.3">
      <c r="J85">
        <v>3</v>
      </c>
      <c r="K85" s="2">
        <v>2</v>
      </c>
      <c r="L85" s="4">
        <f>Q65</f>
        <v>7.0710678118654755</v>
      </c>
      <c r="M85" s="4">
        <f t="shared" si="1"/>
        <v>14.142135623730951</v>
      </c>
      <c r="N85" s="4">
        <f>Q62+Q55/2</f>
        <v>52.06</v>
      </c>
      <c r="O85" s="79">
        <f t="shared" si="2"/>
        <v>736.23958057143329</v>
      </c>
      <c r="P85" s="3">
        <f t="shared" si="3"/>
        <v>38328.632564548818</v>
      </c>
      <c r="Q85" s="1">
        <f>Q55</f>
        <v>5</v>
      </c>
      <c r="R85" s="84">
        <f t="shared" si="4"/>
        <v>29.462782549439481</v>
      </c>
      <c r="S85" s="5"/>
      <c r="T85" s="3"/>
      <c r="V85" s="3"/>
      <c r="Z85" s="57"/>
    </row>
    <row r="86" spans="10:26" hidden="1" x14ac:dyDescent="0.3">
      <c r="J86">
        <v>4</v>
      </c>
      <c r="K86" s="2">
        <v>2</v>
      </c>
      <c r="L86" s="4">
        <f>Q62/SIN(K63)</f>
        <v>56.565190222360293</v>
      </c>
      <c r="M86" s="4">
        <f t="shared" si="1"/>
        <v>113.13038044472059</v>
      </c>
      <c r="N86" s="4">
        <f>Q62/2</f>
        <v>24.78</v>
      </c>
      <c r="O86" s="79">
        <f t="shared" si="2"/>
        <v>2803.3708274201763</v>
      </c>
      <c r="P86" s="3">
        <f t="shared" si="3"/>
        <v>69467.52910347197</v>
      </c>
      <c r="Q86" s="1">
        <f>Q62</f>
        <v>49.56</v>
      </c>
      <c r="R86" s="84">
        <f t="shared" si="4"/>
        <v>23155.843034490656</v>
      </c>
      <c r="Z86" s="57"/>
    </row>
    <row r="87" spans="10:26" hidden="1" x14ac:dyDescent="0.3">
      <c r="J87">
        <v>5</v>
      </c>
      <c r="K87" s="85">
        <v>1</v>
      </c>
      <c r="L87" s="86">
        <f>N63</f>
        <v>154.20351867714888</v>
      </c>
      <c r="M87" s="86">
        <f t="shared" si="1"/>
        <v>154.20351867714888</v>
      </c>
      <c r="N87" s="86">
        <v>0</v>
      </c>
      <c r="O87" s="87">
        <f t="shared" si="2"/>
        <v>0</v>
      </c>
      <c r="P87" s="88">
        <f t="shared" si="3"/>
        <v>0</v>
      </c>
      <c r="Q87" s="89">
        <v>0</v>
      </c>
      <c r="R87" s="90">
        <f t="shared" si="4"/>
        <v>0</v>
      </c>
      <c r="Z87" s="57"/>
    </row>
    <row r="88" spans="10:26" hidden="1" x14ac:dyDescent="0.3">
      <c r="K88" s="60" t="s">
        <v>117</v>
      </c>
      <c r="L88" s="4"/>
      <c r="M88" s="4">
        <f>SUM(M83:M87)</f>
        <v>387.24138437107388</v>
      </c>
      <c r="N88" s="4"/>
      <c r="O88" s="79">
        <f>SUM(O83:O87)</f>
        <v>11363.391440907699</v>
      </c>
      <c r="P88" s="3">
        <f>SUM(P83:P87)</f>
        <v>691124.94302651891</v>
      </c>
      <c r="Q88" s="1"/>
      <c r="R88" s="84">
        <f>SUM(R83:R87)</f>
        <v>26773.623268635205</v>
      </c>
      <c r="X88" s="3"/>
      <c r="Z88" s="57"/>
    </row>
    <row r="89" spans="10:26" hidden="1" x14ac:dyDescent="0.3">
      <c r="J89" s="2"/>
      <c r="K89" s="4"/>
      <c r="L89" s="4"/>
      <c r="M89" s="4"/>
      <c r="N89" s="79"/>
      <c r="O89" s="3"/>
      <c r="P89" s="1"/>
      <c r="Q89" s="84"/>
      <c r="Z89" s="57"/>
    </row>
    <row r="90" spans="10:26" hidden="1" x14ac:dyDescent="0.3">
      <c r="J90" t="s">
        <v>118</v>
      </c>
      <c r="M90" s="3">
        <f>O88/M88</f>
        <v>29.344465492403916</v>
      </c>
      <c r="N90" s="5" t="s">
        <v>25</v>
      </c>
      <c r="O90" s="91"/>
      <c r="P90" s="4"/>
      <c r="Q90" s="4"/>
      <c r="Z90" s="57"/>
    </row>
    <row r="91" spans="10:26" hidden="1" x14ac:dyDescent="0.3">
      <c r="J91" t="s">
        <v>119</v>
      </c>
      <c r="M91" s="3">
        <f>N56*M88</f>
        <v>340.77241824654499</v>
      </c>
      <c r="N91" s="5" t="s">
        <v>120</v>
      </c>
      <c r="O91" s="91"/>
      <c r="P91" s="4"/>
      <c r="Q91" s="3"/>
      <c r="Z91" s="57"/>
    </row>
    <row r="92" spans="10:26" hidden="1" x14ac:dyDescent="0.3">
      <c r="J92" t="s">
        <v>245</v>
      </c>
      <c r="K92" s="60"/>
      <c r="L92" s="4"/>
      <c r="M92" s="92">
        <f>N56*(P88+R88-M88*M90*M90)</f>
        <v>338312.40808706894</v>
      </c>
      <c r="N92" s="93" t="s">
        <v>121</v>
      </c>
      <c r="O92" s="3"/>
      <c r="P92" s="44">
        <f>M92/10/K55</f>
        <v>112.77080269568964</v>
      </c>
      <c r="Q92" t="s">
        <v>297</v>
      </c>
      <c r="Z92" s="57"/>
    </row>
    <row r="93" spans="10:26" hidden="1" x14ac:dyDescent="0.3">
      <c r="J93" s="59" t="s">
        <v>205</v>
      </c>
      <c r="M93" s="3">
        <f>M92/M90</f>
        <v>11529.002229556514</v>
      </c>
      <c r="N93" t="s">
        <v>206</v>
      </c>
      <c r="P93" s="3">
        <f>M93/K55</f>
        <v>38.430007431855046</v>
      </c>
      <c r="Q93" t="s">
        <v>209</v>
      </c>
      <c r="Z93" s="57"/>
    </row>
    <row r="94" spans="10:26" hidden="1" x14ac:dyDescent="0.3">
      <c r="J94" s="59"/>
      <c r="Z94" s="57"/>
    </row>
    <row r="95" spans="10:26" hidden="1" x14ac:dyDescent="0.3">
      <c r="J95" t="s">
        <v>122</v>
      </c>
      <c r="O95" s="94" t="s">
        <v>123</v>
      </c>
      <c r="Z95" s="57"/>
    </row>
    <row r="96" spans="10:26" hidden="1" x14ac:dyDescent="0.3">
      <c r="J96" s="95" t="s">
        <v>124</v>
      </c>
      <c r="O96" s="95"/>
      <c r="Z96" s="57"/>
    </row>
    <row r="97" spans="1:26" hidden="1" x14ac:dyDescent="0.3">
      <c r="O97" s="95"/>
      <c r="Z97" s="57"/>
    </row>
    <row r="98" spans="1:26" hidden="1" x14ac:dyDescent="0.3">
      <c r="J98" t="s">
        <v>125</v>
      </c>
      <c r="Z98" s="57"/>
    </row>
    <row r="99" spans="1:26" hidden="1" x14ac:dyDescent="0.3">
      <c r="J99" t="s">
        <v>126</v>
      </c>
      <c r="Z99" s="57"/>
    </row>
    <row r="100" spans="1:26" hidden="1" x14ac:dyDescent="0.3">
      <c r="J100" t="s">
        <v>127</v>
      </c>
      <c r="K100" s="1" t="s">
        <v>128</v>
      </c>
      <c r="L100" s="5">
        <v>4</v>
      </c>
      <c r="Z100" s="57"/>
    </row>
    <row r="101" spans="1:26" hidden="1" x14ac:dyDescent="0.3">
      <c r="J101" t="s">
        <v>129</v>
      </c>
      <c r="O101" s="60" t="s">
        <v>130</v>
      </c>
      <c r="P101" s="3">
        <v>1</v>
      </c>
      <c r="Z101" s="57"/>
    </row>
    <row r="102" spans="1:26" hidden="1" x14ac:dyDescent="0.3">
      <c r="J102" s="59" t="s">
        <v>131</v>
      </c>
      <c r="M102" s="96">
        <f>SQRT(235/N59)</f>
        <v>0.91612538131290433</v>
      </c>
      <c r="O102" s="59" t="s">
        <v>132</v>
      </c>
      <c r="Z102" s="57"/>
    </row>
    <row r="103" spans="1:26" hidden="1" x14ac:dyDescent="0.3">
      <c r="J103" s="59" t="s">
        <v>133</v>
      </c>
      <c r="M103" s="96">
        <f>(N63/N56)/(28.4*M102*SQRT(L100))</f>
        <v>3.3675058620810132</v>
      </c>
      <c r="N103" t="str">
        <f>IF(M103&lt;0.673,"&lt;= 0.673","&gt; 0.673")</f>
        <v>&gt; 0.673</v>
      </c>
      <c r="O103" s="60" t="s">
        <v>134</v>
      </c>
      <c r="P103" s="77">
        <f>IF(M103&lt;=0.673,1,(M103-0.0055*(3+P101))/(M103*M103))</f>
        <v>0.29501566312983396</v>
      </c>
      <c r="R103" s="59" t="s">
        <v>132</v>
      </c>
      <c r="V103" t="s">
        <v>135</v>
      </c>
      <c r="Z103" s="57"/>
    </row>
    <row r="104" spans="1:26" hidden="1" x14ac:dyDescent="0.3">
      <c r="J104" s="59" t="s">
        <v>136</v>
      </c>
      <c r="M104" s="84">
        <f>P103*N63</f>
        <v>45.49245331949281</v>
      </c>
      <c r="N104" t="s">
        <v>25</v>
      </c>
      <c r="R104" s="59" t="s">
        <v>137</v>
      </c>
      <c r="V104" t="s">
        <v>138</v>
      </c>
      <c r="Z104" s="57"/>
    </row>
    <row r="105" spans="1:26" hidden="1" x14ac:dyDescent="0.3">
      <c r="J105" t="s">
        <v>139</v>
      </c>
      <c r="R105" t="s">
        <v>140</v>
      </c>
      <c r="Z105" s="57"/>
    </row>
    <row r="106" spans="1:26" hidden="1" x14ac:dyDescent="0.3">
      <c r="J106" s="59" t="s">
        <v>141</v>
      </c>
      <c r="K106" t="s">
        <v>142</v>
      </c>
      <c r="M106" s="84">
        <f>N65+2*Q57*((SQRT(2)-1))</f>
        <v>19.142135623730951</v>
      </c>
      <c r="N106" t="s">
        <v>25</v>
      </c>
      <c r="R106" t="s">
        <v>143</v>
      </c>
      <c r="Z106" s="57"/>
    </row>
    <row r="107" spans="1:26" hidden="1" x14ac:dyDescent="0.3">
      <c r="J107" s="59" t="s">
        <v>144</v>
      </c>
      <c r="K107" t="s">
        <v>145</v>
      </c>
      <c r="M107" s="84">
        <f>2*N64+N55+2*M106</f>
        <v>162.48778992461078</v>
      </c>
      <c r="N107" t="s">
        <v>25</v>
      </c>
      <c r="R107" t="s">
        <v>146</v>
      </c>
      <c r="Z107" s="57"/>
    </row>
    <row r="108" spans="1:26" hidden="1" x14ac:dyDescent="0.3">
      <c r="J108" s="59" t="s">
        <v>147</v>
      </c>
      <c r="K108" t="s">
        <v>148</v>
      </c>
      <c r="M108" s="84">
        <f>0.5*M104</f>
        <v>22.746226659746405</v>
      </c>
      <c r="N108" t="s">
        <v>25</v>
      </c>
      <c r="R108" s="59" t="s">
        <v>149</v>
      </c>
      <c r="S108" t="s">
        <v>150</v>
      </c>
      <c r="Z108" s="57"/>
    </row>
    <row r="109" spans="1:26" hidden="1" x14ac:dyDescent="0.3">
      <c r="J109" s="59" t="s">
        <v>151</v>
      </c>
      <c r="K109" t="s">
        <v>148</v>
      </c>
      <c r="M109" s="84">
        <f>0.5*M104</f>
        <v>22.746226659746405</v>
      </c>
      <c r="N109" t="s">
        <v>25</v>
      </c>
      <c r="Z109" s="57"/>
    </row>
    <row r="110" spans="1:26" hidden="1" x14ac:dyDescent="0.3">
      <c r="A110" s="61"/>
      <c r="J110" s="59" t="s">
        <v>152</v>
      </c>
      <c r="Z110" s="57"/>
    </row>
    <row r="111" spans="1:26" hidden="1" x14ac:dyDescent="0.3">
      <c r="B111" s="20"/>
      <c r="C111" s="61" t="s">
        <v>335</v>
      </c>
      <c r="D111" s="20"/>
      <c r="E111" s="20"/>
      <c r="F111" s="20"/>
      <c r="G111" s="20"/>
      <c r="H111" s="20"/>
      <c r="I111" s="20"/>
      <c r="J111" s="59" t="s">
        <v>153</v>
      </c>
      <c r="M111" s="97">
        <f>(N54/N56)/(28.4*M102*SQRT(L100))</f>
        <v>0.81892729109787443</v>
      </c>
      <c r="N111" t="str">
        <f>IF(M111&lt;0.673,"&lt;= 0.673","&gt; 0.673")</f>
        <v>&gt; 0.673</v>
      </c>
      <c r="O111" s="60" t="s">
        <v>134</v>
      </c>
      <c r="P111" s="77">
        <f>IF(M111&lt;=0.673,1,(M111-0.0055*(3+$P$101))/(M111*M111))</f>
        <v>1.1883052363217628</v>
      </c>
      <c r="Z111" s="57"/>
    </row>
    <row r="112" spans="1:26" hidden="1" x14ac:dyDescent="0.3">
      <c r="B112" s="47"/>
      <c r="C112" s="58" t="s">
        <v>344</v>
      </c>
      <c r="D112" s="47"/>
      <c r="E112" s="47"/>
      <c r="F112" t="s">
        <v>345</v>
      </c>
      <c r="G112" s="47"/>
      <c r="H112" s="47"/>
      <c r="I112" s="47"/>
      <c r="J112" s="59" t="s">
        <v>154</v>
      </c>
      <c r="M112" s="3">
        <f>P111*N54</f>
        <v>44.561446362066107</v>
      </c>
      <c r="N112" t="s">
        <v>25</v>
      </c>
      <c r="O112" s="1" t="s">
        <v>314</v>
      </c>
      <c r="P112" s="4">
        <f>IF(M112&gt;N54,N54,M112)</f>
        <v>37.5</v>
      </c>
      <c r="R112" s="1"/>
      <c r="S112" s="98"/>
      <c r="Z112" s="57"/>
    </row>
    <row r="113" spans="1:26" hidden="1" x14ac:dyDescent="0.3">
      <c r="C113" s="20" t="s">
        <v>346</v>
      </c>
      <c r="J113" s="59" t="s">
        <v>155</v>
      </c>
      <c r="M113" s="3">
        <f>0.5*M112</f>
        <v>22.280723181033053</v>
      </c>
      <c r="N113" t="s">
        <v>25</v>
      </c>
      <c r="U113" s="4"/>
      <c r="Z113" s="57"/>
    </row>
    <row r="114" spans="1:26" hidden="1" x14ac:dyDescent="0.3">
      <c r="A114" s="25"/>
      <c r="J114" s="59" t="s">
        <v>156</v>
      </c>
      <c r="U114" s="4"/>
      <c r="Z114" s="57"/>
    </row>
    <row r="115" spans="1:26" hidden="1" x14ac:dyDescent="0.3">
      <c r="A115" s="27"/>
      <c r="B115" t="s">
        <v>351</v>
      </c>
      <c r="H115" s="47"/>
      <c r="I115" s="47"/>
      <c r="J115" s="59" t="s">
        <v>311</v>
      </c>
      <c r="M115" s="97">
        <f>(N55/N56)/(28.4*M102*SQRT(L100))</f>
        <v>1.0919030547971658</v>
      </c>
      <c r="N115" t="str">
        <f>IF(M115&lt;0.673,"&lt;= 0.673","&gt; 0.673")</f>
        <v>&gt; 0.673</v>
      </c>
      <c r="O115" s="60" t="s">
        <v>134</v>
      </c>
      <c r="P115" s="77">
        <f>IF(M115&lt;=0.673,1,(M115-0.0055*(3+$P$101))/(M115*M115))</f>
        <v>0.89737975072871268</v>
      </c>
      <c r="U115" s="4"/>
      <c r="Z115" s="57"/>
    </row>
    <row r="116" spans="1:26" hidden="1" x14ac:dyDescent="0.3">
      <c r="A116" s="25"/>
      <c r="B116" t="s">
        <v>338</v>
      </c>
      <c r="D116" t="s">
        <v>336</v>
      </c>
      <c r="F116" t="s">
        <v>337</v>
      </c>
      <c r="H116" s="25"/>
      <c r="I116" s="25"/>
      <c r="J116" s="59" t="s">
        <v>312</v>
      </c>
      <c r="M116" s="3">
        <f>P115*N55</f>
        <v>44.868987536435633</v>
      </c>
      <c r="N116" t="s">
        <v>25</v>
      </c>
      <c r="O116" s="1" t="s">
        <v>314</v>
      </c>
      <c r="P116" s="4">
        <f>IF(M116&gt;N55,N55,M116)</f>
        <v>44.868987536435633</v>
      </c>
      <c r="U116" s="4"/>
      <c r="Z116" s="57"/>
    </row>
    <row r="117" spans="1:26" hidden="1" x14ac:dyDescent="0.3">
      <c r="A117" s="27"/>
      <c r="B117" s="25"/>
      <c r="C117" s="20"/>
      <c r="D117" s="20"/>
      <c r="E117" s="130"/>
      <c r="F117" s="130"/>
      <c r="G117" s="130"/>
      <c r="H117" s="130"/>
      <c r="I117" s="130"/>
      <c r="J117" s="59" t="s">
        <v>313</v>
      </c>
      <c r="M117" s="97">
        <f>0.5*M116</f>
        <v>22.434493768217816</v>
      </c>
      <c r="U117" s="4"/>
      <c r="Z117" s="57"/>
    </row>
    <row r="118" spans="1:26" hidden="1" x14ac:dyDescent="0.3">
      <c r="A118" s="27"/>
      <c r="C118" s="7" t="s">
        <v>13</v>
      </c>
      <c r="D118" s="7" t="s">
        <v>14</v>
      </c>
      <c r="E118" s="46" t="s">
        <v>349</v>
      </c>
      <c r="F118" s="13"/>
      <c r="H118" s="51"/>
      <c r="I118" s="50" t="s">
        <v>350</v>
      </c>
      <c r="U118" s="4"/>
      <c r="Z118" s="57"/>
    </row>
    <row r="119" spans="1:26" hidden="1" x14ac:dyDescent="0.3">
      <c r="A119" s="27"/>
      <c r="B119" s="6" t="s">
        <v>0</v>
      </c>
      <c r="C119" s="7" t="s">
        <v>341</v>
      </c>
      <c r="D119" s="7" t="s">
        <v>341</v>
      </c>
      <c r="E119" s="32" t="s">
        <v>347</v>
      </c>
      <c r="F119" s="32" t="s">
        <v>348</v>
      </c>
      <c r="G119" s="32" t="s">
        <v>339</v>
      </c>
      <c r="H119" s="50" t="s">
        <v>340</v>
      </c>
      <c r="I119" s="50" t="s">
        <v>356</v>
      </c>
      <c r="S119" t="s">
        <v>316</v>
      </c>
      <c r="Z119" s="57"/>
    </row>
    <row r="120" spans="1:26" hidden="1" x14ac:dyDescent="0.3">
      <c r="A120" s="25"/>
      <c r="B120" s="7">
        <v>1</v>
      </c>
      <c r="C120" s="120">
        <f>0.125</f>
        <v>0.125</v>
      </c>
      <c r="D120" s="120">
        <v>0</v>
      </c>
      <c r="E120" s="9">
        <f>$M$11/($K$15*C120*$C$8^2)</f>
        <v>1.7580693650223205</v>
      </c>
      <c r="F120" s="6"/>
      <c r="G120" s="9">
        <f>(E120-1.35*$Q$3)/1.5</f>
        <v>1.0917943388511524</v>
      </c>
      <c r="H120" s="50"/>
      <c r="I120" s="50">
        <f>MIN(G120:H120)*100</f>
        <v>109.17943388511524</v>
      </c>
      <c r="S120" s="59" t="s">
        <v>160</v>
      </c>
      <c r="U120" s="1" t="s">
        <v>159</v>
      </c>
      <c r="V120" s="3">
        <v>4</v>
      </c>
      <c r="Z120" s="57"/>
    </row>
    <row r="121" spans="1:26" hidden="1" x14ac:dyDescent="0.3">
      <c r="A121" s="20"/>
      <c r="B121" s="7">
        <v>2</v>
      </c>
      <c r="C121" s="120">
        <f>0.0703</f>
        <v>7.0300000000000001E-2</v>
      </c>
      <c r="D121" s="120">
        <f>-0.125</f>
        <v>-0.125</v>
      </c>
      <c r="E121" s="9">
        <f>$M$11/($K$15*C121*$C$8^2)</f>
        <v>3.1260123844635856</v>
      </c>
      <c r="F121" s="9">
        <f>$M$12/($K$15*ABS(D121)*$C$8*$C$8)</f>
        <v>2.9932796831744839</v>
      </c>
      <c r="G121" s="9">
        <f>(E121-1.35*$Q$3)/1.5</f>
        <v>2.0037563518119956</v>
      </c>
      <c r="H121" s="50">
        <f>(F121-1.35*$Q$3)/1.5</f>
        <v>1.9152678842859279</v>
      </c>
      <c r="I121" s="50">
        <f>MIN(G121:H121)*100</f>
        <v>191.52678842859279</v>
      </c>
      <c r="J121" s="59" t="s">
        <v>157</v>
      </c>
      <c r="S121" s="59" t="s">
        <v>162</v>
      </c>
      <c r="U121" s="1" t="s">
        <v>163</v>
      </c>
      <c r="V121" s="3">
        <f>8.2/(1.05+M122)</f>
        <v>4.3626068617099296</v>
      </c>
      <c r="X121" s="2"/>
      <c r="Y121" s="2"/>
      <c r="Z121" s="76"/>
    </row>
    <row r="122" spans="1:26" hidden="1" x14ac:dyDescent="0.3">
      <c r="A122" s="25"/>
      <c r="B122" s="7">
        <v>3</v>
      </c>
      <c r="C122" s="120">
        <f>0.08</f>
        <v>0.08</v>
      </c>
      <c r="D122" s="120">
        <f>-0.1</f>
        <v>-0.1</v>
      </c>
      <c r="E122" s="9">
        <f>$M$11/($K$15*C122*$C$8^2)</f>
        <v>2.7469833828473758</v>
      </c>
      <c r="F122" s="9">
        <f>$M$12/($K$15*ABS(D122)*$C$8*$C$8)</f>
        <v>3.7415996039681048</v>
      </c>
      <c r="G122" s="9">
        <f>(E122-1.35*$Q$3)/1.5</f>
        <v>1.7510703507345224</v>
      </c>
      <c r="H122" s="50">
        <f>(F122-1.35*$Q$3)/1.5</f>
        <v>2.4141478314816749</v>
      </c>
      <c r="I122" s="50">
        <f>MIN(G122:H122)*100</f>
        <v>175.10703507345224</v>
      </c>
      <c r="J122" s="99" t="s">
        <v>158</v>
      </c>
      <c r="M122" s="97">
        <f>(M90-Q57)/M90</f>
        <v>0.82961011842951116</v>
      </c>
      <c r="R122" s="57"/>
      <c r="S122" s="59" t="s">
        <v>165</v>
      </c>
      <c r="U122" s="1" t="s">
        <v>159</v>
      </c>
      <c r="V122" s="3">
        <v>7.81</v>
      </c>
      <c r="X122" s="2"/>
      <c r="Y122" s="4"/>
      <c r="Z122" s="100"/>
    </row>
    <row r="123" spans="1:26" hidden="1" x14ac:dyDescent="0.3">
      <c r="A123" s="20"/>
      <c r="B123" s="7">
        <v>4</v>
      </c>
      <c r="C123" s="120">
        <f>0.0772</f>
        <v>7.7200000000000005E-2</v>
      </c>
      <c r="D123" s="120">
        <f>-0.1071</f>
        <v>-0.1071</v>
      </c>
      <c r="E123" s="9">
        <f>$M$11/($K$15*C123*$C$8^2)</f>
        <v>2.8466149045050524</v>
      </c>
      <c r="F123" s="9">
        <f>$M$12/($K$15*ABS(D123)*$C$8*$C$8)</f>
        <v>3.4935570531915072</v>
      </c>
      <c r="G123" s="9">
        <f>(E123-1.35*$Q$3)/1.5</f>
        <v>1.8174913651729734</v>
      </c>
      <c r="H123" s="50">
        <f>(F123-1.35*$Q$3)/1.5</f>
        <v>2.2487861309639432</v>
      </c>
      <c r="I123" s="50">
        <f>MIN(G123:H123)*100</f>
        <v>181.74913651729733</v>
      </c>
      <c r="J123" s="5" t="s">
        <v>159</v>
      </c>
      <c r="M123" s="97">
        <f>IF(M122=1,V120,IF(M122=0,V122,V121))</f>
        <v>4.3626068617099296</v>
      </c>
      <c r="S123" s="59" t="s">
        <v>167</v>
      </c>
      <c r="U123" s="101" t="s">
        <v>168</v>
      </c>
      <c r="V123" s="3"/>
      <c r="X123" s="4"/>
      <c r="Y123" s="4"/>
      <c r="Z123" s="100"/>
    </row>
    <row r="124" spans="1:26" hidden="1" x14ac:dyDescent="0.3">
      <c r="A124" s="20"/>
      <c r="B124" s="7">
        <v>5</v>
      </c>
      <c r="C124" s="120">
        <f>0.0779</f>
        <v>7.7899999999999997E-2</v>
      </c>
      <c r="D124" s="120">
        <f>-0.1053</f>
        <v>-0.1053</v>
      </c>
      <c r="E124" s="9">
        <f>$M$11/($K$15*C124*$C$8^2)</f>
        <v>2.8210355664671383</v>
      </c>
      <c r="F124" s="9">
        <f>$M$12/($K$15*ABS(D124)*$C$8*$C$8)</f>
        <v>3.553275977177687</v>
      </c>
      <c r="G124" s="9">
        <f>(E124-1.35*$Q$3)/1.5</f>
        <v>1.8004384731476974</v>
      </c>
      <c r="H124" s="50">
        <f>(F124-1.35*$Q$3)/1.5</f>
        <v>2.28859874695473</v>
      </c>
      <c r="I124" s="164">
        <f>MIN(G124:H124)*100</f>
        <v>180.04384731476975</v>
      </c>
      <c r="J124" s="59" t="s">
        <v>161</v>
      </c>
      <c r="M124" s="97">
        <f>(N65/N56)/(28.4*M102*SQRT(M123))</f>
        <v>0.31366227807650759</v>
      </c>
      <c r="N124" t="str">
        <f>IF(M124&lt;0.673,"&lt;= 0.673","&gt; 0.673")</f>
        <v>&lt;= 0.673</v>
      </c>
      <c r="O124" s="60" t="s">
        <v>134</v>
      </c>
      <c r="P124" s="77">
        <f>IF(M124&lt;=0.673,1,(M124-0.0055*(3+M122))/(M124*M124))</f>
        <v>1</v>
      </c>
      <c r="S124" s="102" t="s">
        <v>169</v>
      </c>
      <c r="U124" s="1" t="s">
        <v>159</v>
      </c>
      <c r="V124" s="3"/>
      <c r="X124" s="4"/>
      <c r="Y124" s="4"/>
      <c r="Z124" s="100"/>
    </row>
    <row r="125" spans="1:26" hidden="1" x14ac:dyDescent="0.3">
      <c r="A125" s="20"/>
      <c r="H125" s="30"/>
      <c r="I125" s="177">
        <f>IF(C9=1,I120,IF(C9=2,I121,IF(C9=3,I122,IF(C9=4,I123,IF(C9=5,I124)))))</f>
        <v>175.10703507345224</v>
      </c>
      <c r="J125" s="59" t="s">
        <v>164</v>
      </c>
      <c r="M125" s="3">
        <f>P124*N65</f>
        <v>15</v>
      </c>
      <c r="N125" t="s">
        <v>25</v>
      </c>
      <c r="S125" s="102" t="s">
        <v>170</v>
      </c>
      <c r="U125" s="1" t="s">
        <v>171</v>
      </c>
      <c r="V125" s="3"/>
      <c r="X125" s="4"/>
      <c r="Y125" s="103"/>
      <c r="Z125" s="100"/>
    </row>
    <row r="126" spans="1:26" hidden="1" x14ac:dyDescent="0.3">
      <c r="A126" s="20"/>
      <c r="F126" s="20"/>
      <c r="G126" s="25"/>
      <c r="H126" s="47"/>
      <c r="I126" s="47"/>
      <c r="J126" s="1" t="s">
        <v>318</v>
      </c>
      <c r="K126" s="3">
        <f>IF(M122=1,W128,IF(M122&lt;0,W132,W130))</f>
        <v>7.193572028498826</v>
      </c>
      <c r="L126" t="s">
        <v>25</v>
      </c>
      <c r="S126" s="104"/>
      <c r="T126" s="103"/>
      <c r="V126" s="103"/>
      <c r="W126" s="103"/>
      <c r="X126" s="103"/>
      <c r="Y126" s="103"/>
      <c r="Z126" s="105"/>
    </row>
    <row r="127" spans="1:26" hidden="1" x14ac:dyDescent="0.3">
      <c r="A127" s="20"/>
      <c r="B127" s="20" t="s">
        <v>352</v>
      </c>
      <c r="C127" s="47"/>
      <c r="G127" s="47"/>
      <c r="H127" s="55"/>
      <c r="I127" s="55"/>
      <c r="J127" s="1" t="s">
        <v>317</v>
      </c>
      <c r="K127" s="3">
        <f>IF(M122=1,W129,IF(M122&lt;0,W133,W131))</f>
        <v>7.806427971501174</v>
      </c>
      <c r="L127" t="s">
        <v>25</v>
      </c>
      <c r="S127" s="1"/>
      <c r="T127" s="3"/>
      <c r="Z127" s="57"/>
    </row>
    <row r="128" spans="1:26" hidden="1" x14ac:dyDescent="0.3">
      <c r="B128" s="25"/>
      <c r="C128" s="176" t="s">
        <v>355</v>
      </c>
      <c r="D128" s="130"/>
      <c r="E128" s="110"/>
      <c r="F128" s="25"/>
      <c r="G128" s="27"/>
      <c r="H128" s="55"/>
      <c r="I128" s="55"/>
      <c r="S128" s="60" t="s">
        <v>160</v>
      </c>
      <c r="T128" s="1" t="s">
        <v>318</v>
      </c>
      <c r="U128" s="5" t="s">
        <v>321</v>
      </c>
      <c r="W128" s="83">
        <f>0.5*P124*M125</f>
        <v>7.5</v>
      </c>
      <c r="X128" s="80" t="s">
        <v>25</v>
      </c>
      <c r="Z128" s="57"/>
    </row>
    <row r="129" spans="1:26" hidden="1" x14ac:dyDescent="0.3">
      <c r="E129" s="6" t="s">
        <v>354</v>
      </c>
      <c r="F129" s="9" t="s">
        <v>350</v>
      </c>
      <c r="G129" s="27"/>
      <c r="H129" s="55"/>
      <c r="I129" s="55"/>
      <c r="J129" t="s">
        <v>166</v>
      </c>
      <c r="T129" s="1" t="s">
        <v>317</v>
      </c>
      <c r="U129" s="5" t="s">
        <v>321</v>
      </c>
      <c r="W129" s="83">
        <f>0.5*P124*N65</f>
        <v>7.5</v>
      </c>
      <c r="X129" s="80" t="s">
        <v>25</v>
      </c>
      <c r="Z129" s="57"/>
    </row>
    <row r="130" spans="1:26" hidden="1" x14ac:dyDescent="0.3">
      <c r="C130" s="6" t="s">
        <v>0</v>
      </c>
      <c r="D130" s="120" t="s">
        <v>353</v>
      </c>
      <c r="E130" s="120" t="s">
        <v>356</v>
      </c>
      <c r="F130" s="9" t="s">
        <v>356</v>
      </c>
      <c r="G130" s="27"/>
      <c r="H130" s="55"/>
      <c r="I130" s="55"/>
      <c r="J130" t="s">
        <v>315</v>
      </c>
      <c r="M130" s="3">
        <f>2*SQRT((N65/2)^2+Q57^2)</f>
        <v>18.027756377319946</v>
      </c>
      <c r="N130" t="s">
        <v>25</v>
      </c>
      <c r="S130" s="60" t="s">
        <v>175</v>
      </c>
      <c r="T130" s="1" t="s">
        <v>318</v>
      </c>
      <c r="U130" s="103" t="s">
        <v>322</v>
      </c>
      <c r="W130" s="83">
        <f>2*P124*N65/(5-M122)</f>
        <v>7.193572028498826</v>
      </c>
      <c r="X130" s="80" t="s">
        <v>25</v>
      </c>
      <c r="Z130" s="57"/>
    </row>
    <row r="131" spans="1:26" hidden="1" x14ac:dyDescent="0.3">
      <c r="C131" s="7">
        <v>1</v>
      </c>
      <c r="D131" s="173">
        <f>5/384</f>
        <v>1.3020833333333334E-2</v>
      </c>
      <c r="E131" s="120">
        <f>10*$K$36*$K$35/($C$11*D131*$O$6^3)</f>
        <v>72.750700235043297</v>
      </c>
      <c r="F131" s="9">
        <f>(E131-$O$2)</f>
        <v>63.833821957592036</v>
      </c>
      <c r="G131" s="27"/>
      <c r="H131" s="55"/>
      <c r="I131" s="55"/>
      <c r="J131" t="s">
        <v>323</v>
      </c>
      <c r="M131" s="3">
        <f>2*P116+P112+M130</f>
        <v>145.2657314501912</v>
      </c>
      <c r="N131" t="s">
        <v>25</v>
      </c>
      <c r="T131" s="1" t="s">
        <v>317</v>
      </c>
      <c r="U131" s="99" t="s">
        <v>319</v>
      </c>
      <c r="W131" s="83">
        <f>M125-W130</f>
        <v>7.806427971501174</v>
      </c>
      <c r="X131" s="80" t="s">
        <v>25</v>
      </c>
      <c r="Z131" s="57"/>
    </row>
    <row r="132" spans="1:26" hidden="1" x14ac:dyDescent="0.3">
      <c r="C132" s="7">
        <v>2</v>
      </c>
      <c r="D132" s="173">
        <v>5.4000000000000003E-3</v>
      </c>
      <c r="E132" s="120">
        <f>10*$K$36*$K$35/($C$11*D132*$O$6^3)</f>
        <v>175.42124863773944</v>
      </c>
      <c r="F132" s="9">
        <f>(E132-$O$2)</f>
        <v>166.50437036028816</v>
      </c>
      <c r="G132" s="27"/>
      <c r="H132" s="30"/>
      <c r="I132" s="30"/>
      <c r="S132" s="60" t="s">
        <v>176</v>
      </c>
      <c r="T132" s="1" t="s">
        <v>318</v>
      </c>
      <c r="U132" s="99" t="s">
        <v>320</v>
      </c>
      <c r="W132" s="83">
        <f>0.4*P124*N65</f>
        <v>6</v>
      </c>
      <c r="X132" s="80" t="s">
        <v>25</v>
      </c>
      <c r="Z132" s="57"/>
    </row>
    <row r="133" spans="1:26" hidden="1" x14ac:dyDescent="0.3">
      <c r="C133" s="7">
        <v>3</v>
      </c>
      <c r="D133" s="173">
        <v>6.7999999999999996E-3</v>
      </c>
      <c r="E133" s="120">
        <f>10*$K$36*$K$35/($C$11*D133*$O$6^3)</f>
        <v>139.30510921232252</v>
      </c>
      <c r="F133" s="9">
        <f>(E133-$O$2)</f>
        <v>130.38823093487125</v>
      </c>
      <c r="H133" s="30"/>
      <c r="I133" s="30"/>
      <c r="T133" s="1" t="s">
        <v>174</v>
      </c>
      <c r="U133" s="99" t="s">
        <v>177</v>
      </c>
      <c r="W133" s="83">
        <f>0.6*P124*N65</f>
        <v>9</v>
      </c>
      <c r="X133" s="80" t="s">
        <v>25</v>
      </c>
      <c r="Z133" s="57"/>
    </row>
    <row r="134" spans="1:26" hidden="1" x14ac:dyDescent="0.3">
      <c r="C134" s="7">
        <v>4</v>
      </c>
      <c r="D134" s="173">
        <v>6.4999999999999997E-3</v>
      </c>
      <c r="E134" s="120">
        <f>10*$K$36*$K$35/($C$11*D134*$O$6^3)</f>
        <v>145.73457579135277</v>
      </c>
      <c r="F134" s="9">
        <f>(E134-$O$2)</f>
        <v>136.81769751390149</v>
      </c>
      <c r="G134" s="175"/>
      <c r="H134" s="47"/>
      <c r="I134" s="47"/>
      <c r="Z134" s="57"/>
    </row>
    <row r="135" spans="1:26" hidden="1" x14ac:dyDescent="0.3">
      <c r="C135" s="7">
        <v>5</v>
      </c>
      <c r="D135" s="173">
        <v>6.4999999999999997E-3</v>
      </c>
      <c r="E135" s="120">
        <f>10*$K$36*$K$35/($C$11*D135*$O$6^3)</f>
        <v>145.73457579135277</v>
      </c>
      <c r="F135" s="9">
        <f>(E135-$O$2)</f>
        <v>136.81769751390149</v>
      </c>
      <c r="H135" s="51"/>
      <c r="I135" s="51"/>
      <c r="Z135" s="57"/>
    </row>
    <row r="136" spans="1:26" hidden="1" x14ac:dyDescent="0.3">
      <c r="F136" s="177">
        <f>IF(C9=1,F131,IF(C9=2,F132,IF(C9=3,F133,IF(C9=4,F134,IF(C9=5,F135)))))</f>
        <v>130.38823093487125</v>
      </c>
      <c r="H136" s="51"/>
      <c r="I136" s="51"/>
      <c r="O136" s="3"/>
      <c r="Z136" s="57"/>
    </row>
    <row r="137" spans="1:26" hidden="1" x14ac:dyDescent="0.3">
      <c r="F137" s="165">
        <f>IF(F136&lt;0,"Повећај пресек",IF(F136&gt;0,F136))</f>
        <v>130.38823093487125</v>
      </c>
      <c r="O137" s="3"/>
      <c r="V137" s="3"/>
      <c r="Z137" s="57"/>
    </row>
    <row r="138" spans="1:26" hidden="1" x14ac:dyDescent="0.3">
      <c r="R138" s="1"/>
      <c r="S138" s="59"/>
      <c r="V138" s="3"/>
      <c r="Z138" s="57"/>
    </row>
    <row r="139" spans="1:26" hidden="1" x14ac:dyDescent="0.3">
      <c r="M139" s="3"/>
      <c r="S139" s="59"/>
      <c r="V139" s="3"/>
      <c r="Z139" s="57"/>
    </row>
    <row r="140" spans="1:26" hidden="1" x14ac:dyDescent="0.3">
      <c r="A140" s="57"/>
      <c r="C140" s="46"/>
      <c r="D140" s="12"/>
      <c r="E140" s="12"/>
      <c r="F140" s="219" t="s">
        <v>415</v>
      </c>
      <c r="G140" s="116">
        <v>1</v>
      </c>
      <c r="H140" s="57"/>
      <c r="I140" s="57"/>
      <c r="J140" t="s">
        <v>172</v>
      </c>
      <c r="R140" s="1" t="s">
        <v>173</v>
      </c>
      <c r="T140" s="3"/>
      <c r="Z140" s="57"/>
    </row>
    <row r="141" spans="1:26" hidden="1" x14ac:dyDescent="0.3">
      <c r="A141" s="57"/>
      <c r="C141" s="217" t="s">
        <v>405</v>
      </c>
      <c r="D141" s="203" t="s">
        <v>406</v>
      </c>
      <c r="E141" s="20"/>
      <c r="F141" s="25"/>
      <c r="G141" s="156"/>
      <c r="H141" s="57"/>
      <c r="I141" s="57"/>
      <c r="K141" s="2" t="s">
        <v>41</v>
      </c>
      <c r="L141" s="2" t="s">
        <v>111</v>
      </c>
      <c r="M141" s="2" t="s">
        <v>40</v>
      </c>
      <c r="N141" s="2" t="s">
        <v>112</v>
      </c>
      <c r="O141" s="2" t="s">
        <v>113</v>
      </c>
      <c r="P141" s="2" t="s">
        <v>114</v>
      </c>
      <c r="Q141" s="2" t="s">
        <v>115</v>
      </c>
      <c r="R141" s="2" t="s">
        <v>116</v>
      </c>
      <c r="Z141" s="57"/>
    </row>
    <row r="142" spans="1:26" hidden="1" x14ac:dyDescent="0.3">
      <c r="A142" s="57"/>
      <c r="C142" s="41" t="s">
        <v>407</v>
      </c>
      <c r="D142" s="65">
        <f>(2000/K55)*D152*C6*C6*SQRT(C5/1000*N60/1000)*(1-0.1*SQRT(N57/C6))*(0.5+SQRT(0.02*G142/C6))*(2.4+(K64/90)^2/G140)</f>
        <v>9.5895710049710754</v>
      </c>
      <c r="E142" s="20" t="s">
        <v>7</v>
      </c>
      <c r="F142" s="9" t="s">
        <v>408</v>
      </c>
      <c r="G142" s="6">
        <f>F24</f>
        <v>40</v>
      </c>
      <c r="H142" s="57"/>
      <c r="I142" s="181"/>
      <c r="J142">
        <v>1</v>
      </c>
      <c r="K142" s="2">
        <v>2</v>
      </c>
      <c r="L142" s="4">
        <f>L83</f>
        <v>22.5</v>
      </c>
      <c r="M142" s="4">
        <f>K142*L142</f>
        <v>45</v>
      </c>
      <c r="N142" s="4">
        <f>N83</f>
        <v>81.62</v>
      </c>
      <c r="O142" s="79">
        <f>M142*N142</f>
        <v>3672.9</v>
      </c>
      <c r="P142" s="3">
        <f>O142*N142</f>
        <v>299782.098</v>
      </c>
      <c r="Q142" s="1">
        <f>Q83</f>
        <v>0</v>
      </c>
      <c r="R142" s="84">
        <f>Q142*Q142*M142/12</f>
        <v>0</v>
      </c>
      <c r="Z142" s="57"/>
    </row>
    <row r="143" spans="1:26" hidden="1" x14ac:dyDescent="0.3">
      <c r="A143" s="57"/>
      <c r="C143" s="41" t="s">
        <v>409</v>
      </c>
      <c r="D143" s="65">
        <f>(2000/K55)*D153*C6*C6*SQRT(C5/1000*N60/1000)*(1-0.1*SQRT(N57/C6))*(0.5+SQRT(0.02*G143/6))*(2.4+(K64/90)^2)/G140</f>
        <v>13.411860405453906</v>
      </c>
      <c r="E143" s="20" t="s">
        <v>7</v>
      </c>
      <c r="F143" s="7" t="s">
        <v>410</v>
      </c>
      <c r="G143" s="6">
        <f>F25</f>
        <v>80</v>
      </c>
      <c r="H143" s="57"/>
      <c r="I143" s="181"/>
      <c r="J143">
        <v>2</v>
      </c>
      <c r="K143" s="2">
        <v>2</v>
      </c>
      <c r="L143" s="4">
        <f>L84</f>
        <v>30.382674812736706</v>
      </c>
      <c r="M143" s="4">
        <f t="shared" ref="M143:M146" si="5">K143*L143</f>
        <v>60.765349625473412</v>
      </c>
      <c r="N143" s="4">
        <f>N84</f>
        <v>68.31</v>
      </c>
      <c r="O143" s="79">
        <f t="shared" ref="O143:O146" si="6">M143*N143</f>
        <v>4150.8810329160888</v>
      </c>
      <c r="P143" s="3">
        <f t="shared" ref="P143:P146" si="7">O143*N143</f>
        <v>283546.68335849803</v>
      </c>
      <c r="Q143" s="1">
        <f>Q84</f>
        <v>26.620000000000005</v>
      </c>
      <c r="R143" s="84">
        <f t="shared" ref="R143:R146" si="8">Q143*Q143*M143/12</f>
        <v>3588.3174515951118</v>
      </c>
      <c r="Z143" s="57"/>
    </row>
    <row r="144" spans="1:26" hidden="1" x14ac:dyDescent="0.3">
      <c r="A144" s="57"/>
      <c r="C144" s="41"/>
      <c r="D144" s="20"/>
      <c r="E144" s="20"/>
      <c r="F144" s="25"/>
      <c r="G144" s="156"/>
      <c r="H144" s="57"/>
      <c r="I144" s="57"/>
      <c r="J144">
        <v>3</v>
      </c>
      <c r="K144" s="2">
        <v>2</v>
      </c>
      <c r="L144" s="4">
        <f>L85</f>
        <v>7.0710678118654755</v>
      </c>
      <c r="M144" s="4">
        <f t="shared" si="5"/>
        <v>14.142135623730951</v>
      </c>
      <c r="N144" s="4">
        <f>N85</f>
        <v>52.06</v>
      </c>
      <c r="O144" s="79">
        <f t="shared" si="6"/>
        <v>736.23958057143329</v>
      </c>
      <c r="P144" s="3">
        <f t="shared" si="7"/>
        <v>38328.632564548818</v>
      </c>
      <c r="Q144" s="1">
        <f>Q85</f>
        <v>5</v>
      </c>
      <c r="R144" s="84">
        <f t="shared" si="8"/>
        <v>29.462782549439481</v>
      </c>
      <c r="Z144" s="57"/>
    </row>
    <row r="145" spans="1:33" ht="15.6" hidden="1" x14ac:dyDescent="0.35">
      <c r="A145" s="57"/>
      <c r="C145" s="6" t="s">
        <v>0</v>
      </c>
      <c r="D145" s="17" t="s">
        <v>375</v>
      </c>
      <c r="E145" s="17" t="s">
        <v>376</v>
      </c>
      <c r="F145" s="7" t="s">
        <v>411</v>
      </c>
      <c r="G145" s="17" t="s">
        <v>412</v>
      </c>
      <c r="H145" s="57"/>
      <c r="I145" s="57"/>
      <c r="J145">
        <v>4</v>
      </c>
      <c r="K145" s="2">
        <v>2</v>
      </c>
      <c r="L145" s="4">
        <f>L86</f>
        <v>56.565190222360293</v>
      </c>
      <c r="M145" s="4">
        <f t="shared" si="5"/>
        <v>113.13038044472059</v>
      </c>
      <c r="N145" s="4">
        <f>N86</f>
        <v>24.78</v>
      </c>
      <c r="O145" s="79">
        <f t="shared" si="6"/>
        <v>2803.3708274201763</v>
      </c>
      <c r="P145" s="3">
        <f t="shared" si="7"/>
        <v>69467.52910347197</v>
      </c>
      <c r="Q145" s="1">
        <f>Q86</f>
        <v>49.56</v>
      </c>
      <c r="R145" s="84">
        <f t="shared" si="8"/>
        <v>23155.843034490656</v>
      </c>
      <c r="Z145" s="57"/>
    </row>
    <row r="146" spans="1:33" hidden="1" x14ac:dyDescent="0.3">
      <c r="A146" s="57"/>
      <c r="C146" s="6"/>
      <c r="D146" s="28"/>
      <c r="E146" s="28"/>
      <c r="F146" s="7" t="s">
        <v>416</v>
      </c>
      <c r="G146" s="7" t="s">
        <v>416</v>
      </c>
      <c r="H146" s="57"/>
      <c r="I146" s="57"/>
      <c r="J146">
        <v>5</v>
      </c>
      <c r="K146" s="85">
        <v>1</v>
      </c>
      <c r="L146" s="86">
        <f>M131</f>
        <v>145.2657314501912</v>
      </c>
      <c r="M146" s="86">
        <f t="shared" si="5"/>
        <v>145.2657314501912</v>
      </c>
      <c r="N146" s="86">
        <f>N87</f>
        <v>0</v>
      </c>
      <c r="O146" s="87">
        <f t="shared" si="6"/>
        <v>0</v>
      </c>
      <c r="P146" s="88">
        <f t="shared" si="7"/>
        <v>0</v>
      </c>
      <c r="Q146" s="89">
        <f>Q87</f>
        <v>0</v>
      </c>
      <c r="R146" s="90">
        <f t="shared" si="8"/>
        <v>0</v>
      </c>
      <c r="Z146" s="57"/>
    </row>
    <row r="147" spans="1:33" hidden="1" x14ac:dyDescent="0.3">
      <c r="A147" s="57"/>
      <c r="C147" s="7">
        <v>1</v>
      </c>
      <c r="D147" s="7">
        <v>0.5</v>
      </c>
      <c r="E147" s="7">
        <v>0.5</v>
      </c>
      <c r="F147" s="9">
        <f>100*$D$143/(D147*$C$8)-$O$3</f>
        <v>527.55753794070495</v>
      </c>
      <c r="G147" s="9">
        <f>100*$D$142/(E147*$C$8)-$O$3</f>
        <v>374.66596192139173</v>
      </c>
      <c r="H147" s="57"/>
      <c r="I147" s="57"/>
      <c r="K147" s="60" t="s">
        <v>117</v>
      </c>
      <c r="L147" s="4"/>
      <c r="M147" s="4">
        <f>SUM(M142:M146)</f>
        <v>378.30359714411617</v>
      </c>
      <c r="N147" s="4"/>
      <c r="O147" s="79">
        <f>SUM(O142:O146)</f>
        <v>11363.391440907699</v>
      </c>
      <c r="P147" s="3">
        <f>SUM(P142:P146)</f>
        <v>691124.94302651891</v>
      </c>
      <c r="Q147" s="1"/>
      <c r="R147" s="84">
        <f>SUM(R142:R146)</f>
        <v>26773.623268635209</v>
      </c>
      <c r="Z147" s="57"/>
    </row>
    <row r="148" spans="1:33" hidden="1" x14ac:dyDescent="0.3">
      <c r="A148" s="57"/>
      <c r="C148" s="7">
        <v>2</v>
      </c>
      <c r="D148" s="7">
        <v>1.25</v>
      </c>
      <c r="E148" s="7">
        <v>0.375</v>
      </c>
      <c r="F148" s="9">
        <f>100*$D$143/(D148*$C$8)-$O$3</f>
        <v>205.67288820981122</v>
      </c>
      <c r="G148" s="9">
        <f>100*$D$142/(E148*$C$8)-$O$3</f>
        <v>502.52690865433942</v>
      </c>
      <c r="H148" s="47"/>
      <c r="I148" s="57"/>
      <c r="Z148" s="57"/>
    </row>
    <row r="149" spans="1:33" hidden="1" x14ac:dyDescent="0.3">
      <c r="A149" s="57"/>
      <c r="C149" s="7">
        <v>3</v>
      </c>
      <c r="D149" s="7">
        <v>1.1000000000000001</v>
      </c>
      <c r="E149" s="7">
        <v>0.4</v>
      </c>
      <c r="F149" s="9">
        <f>100*$D$143/(D149*$C$8)-$O$3</f>
        <v>234.93512909443791</v>
      </c>
      <c r="G149" s="9">
        <f>100*$D$142/(E149*$C$8)-$O$3</f>
        <v>470.5616719711025</v>
      </c>
      <c r="H149" s="57"/>
      <c r="I149" s="57"/>
      <c r="J149" t="s">
        <v>118</v>
      </c>
      <c r="M149" s="3">
        <f>O147/M147</f>
        <v>30.037756782362216</v>
      </c>
      <c r="N149" s="5" t="s">
        <v>25</v>
      </c>
      <c r="O149" s="2" t="s">
        <v>178</v>
      </c>
      <c r="P149">
        <f>K65/2</f>
        <v>40.81</v>
      </c>
      <c r="R149" t="s">
        <v>179</v>
      </c>
      <c r="Z149" s="57"/>
    </row>
    <row r="150" spans="1:33" hidden="1" x14ac:dyDescent="0.3">
      <c r="C150" s="7">
        <v>4</v>
      </c>
      <c r="D150" s="7">
        <v>1.143</v>
      </c>
      <c r="E150" s="7">
        <v>0.39300000000000002</v>
      </c>
      <c r="F150" s="9">
        <f>100*$D$143/(D150*$C$8)-$O$3</f>
        <v>225.76134404020237</v>
      </c>
      <c r="G150" s="9">
        <f>100*$D$142/(E150*$C$8)-$O$3</f>
        <v>479.10200238265435</v>
      </c>
      <c r="J150" t="s">
        <v>180</v>
      </c>
      <c r="K150" t="s">
        <v>181</v>
      </c>
      <c r="M150" s="3">
        <f>K65-M149</f>
        <v>51.582243217637789</v>
      </c>
      <c r="N150" s="5" t="s">
        <v>25</v>
      </c>
      <c r="R150" s="59" t="s">
        <v>182</v>
      </c>
      <c r="S150" s="61" t="s">
        <v>43</v>
      </c>
      <c r="Z150" s="57"/>
      <c r="AB150" s="139" t="s">
        <v>43</v>
      </c>
      <c r="AG150" s="40"/>
    </row>
    <row r="151" spans="1:33" ht="15.6" hidden="1" x14ac:dyDescent="0.35">
      <c r="C151" s="7">
        <v>5</v>
      </c>
      <c r="D151" s="7">
        <v>1.1319999999999999</v>
      </c>
      <c r="E151" s="7">
        <v>0.39500000000000002</v>
      </c>
      <c r="F151" s="9">
        <f>100*$D$143/(D151*$C$8)-$O$3</f>
        <v>228.04178612986158</v>
      </c>
      <c r="G151" s="9">
        <f>100*$D$142/(E151*$C$8)-$O$3</f>
        <v>476.63102070842592</v>
      </c>
      <c r="J151" s="59" t="s">
        <v>183</v>
      </c>
      <c r="M151" s="3">
        <f>-M149/M150</f>
        <v>-0.58232746210019903</v>
      </c>
      <c r="R151" s="59" t="s">
        <v>184</v>
      </c>
      <c r="S151" s="41" t="s">
        <v>275</v>
      </c>
      <c r="W151" s="1" t="s">
        <v>44</v>
      </c>
      <c r="X151" s="2">
        <v>1</v>
      </c>
      <c r="Z151" s="57"/>
      <c r="AB151" s="41" t="s">
        <v>267</v>
      </c>
      <c r="AG151" s="40"/>
    </row>
    <row r="152" spans="1:33" ht="15.6" hidden="1" x14ac:dyDescent="0.35">
      <c r="C152" s="218" t="s">
        <v>413</v>
      </c>
      <c r="D152" s="32">
        <v>7.4999999999999997E-2</v>
      </c>
      <c r="E152" s="20"/>
      <c r="F152" s="177">
        <f>IF(C9=1,F147,IF(C9=2,F148,IF(C9=3,F149,IF(C9=4,F150,IF(C9=5,F151)))))</f>
        <v>234.93512909443791</v>
      </c>
      <c r="G152" s="177">
        <f>IF(C9=1,G147,IF(C9=2,G148,IF(C9=3,G149,IF(C9=4,G150,IF(C9=5,G151)))))</f>
        <v>470.5616719711025</v>
      </c>
      <c r="R152" s="59"/>
      <c r="T152" s="3"/>
      <c r="W152" s="1" t="s">
        <v>45</v>
      </c>
      <c r="X152" s="2">
        <v>1</v>
      </c>
      <c r="Z152" s="57"/>
      <c r="AG152" s="40"/>
    </row>
    <row r="153" spans="1:33" hidden="1" x14ac:dyDescent="0.3">
      <c r="C153" s="218" t="s">
        <v>414</v>
      </c>
      <c r="D153" s="7">
        <v>0.15</v>
      </c>
      <c r="E153" s="14"/>
      <c r="F153" s="14"/>
      <c r="G153" s="15"/>
      <c r="J153" s="59" t="s">
        <v>185</v>
      </c>
      <c r="K153" s="59"/>
      <c r="M153" s="3"/>
      <c r="S153" t="s">
        <v>46</v>
      </c>
      <c r="T153" t="s">
        <v>47</v>
      </c>
      <c r="W153" s="3">
        <f>(K65/SIN(K63))*N56*(N59/(X151*SQRT(3)))/1000</f>
        <v>13.25240259383969</v>
      </c>
      <c r="X153" t="s">
        <v>48</v>
      </c>
      <c r="Z153" s="57"/>
      <c r="AG153" s="40"/>
    </row>
    <row r="154" spans="1:33" hidden="1" x14ac:dyDescent="0.3">
      <c r="J154" s="59" t="s">
        <v>186</v>
      </c>
      <c r="K154" s="60">
        <f>Q54</f>
        <v>50</v>
      </c>
      <c r="L154" s="106" t="s">
        <v>25</v>
      </c>
      <c r="Z154" s="57"/>
      <c r="AD154" t="s">
        <v>331</v>
      </c>
      <c r="AG154" s="40"/>
    </row>
    <row r="155" spans="1:33" hidden="1" x14ac:dyDescent="0.3">
      <c r="J155" s="59" t="s">
        <v>187</v>
      </c>
      <c r="O155" s="3"/>
      <c r="S155" s="5" t="s">
        <v>49</v>
      </c>
      <c r="Z155" s="57"/>
      <c r="AD155" t="s">
        <v>332</v>
      </c>
      <c r="AG155" s="40"/>
    </row>
    <row r="156" spans="1:33" ht="15.6" hidden="1" x14ac:dyDescent="0.35">
      <c r="J156" s="59" t="s">
        <v>188</v>
      </c>
      <c r="O156" s="107" t="s">
        <v>189</v>
      </c>
      <c r="P156">
        <v>1</v>
      </c>
      <c r="S156" s="59" t="s">
        <v>50</v>
      </c>
      <c r="W156" s="3">
        <f>0.346*(N66/N56)*SQRT(N59/N60)</f>
        <v>1.3374493364868312</v>
      </c>
      <c r="Z156" s="57"/>
      <c r="AB156" s="140" t="s">
        <v>268</v>
      </c>
      <c r="AG156" s="40"/>
    </row>
    <row r="157" spans="1:33" ht="16.2" hidden="1" x14ac:dyDescent="0.3">
      <c r="J157" s="59" t="s">
        <v>190</v>
      </c>
      <c r="L157" s="3">
        <f>0.76*N56*SQRT(N60/(P156*P157))</f>
        <v>18.315842322972756</v>
      </c>
      <c r="M157" t="s">
        <v>25</v>
      </c>
      <c r="O157" s="107" t="s">
        <v>191</v>
      </c>
      <c r="P157">
        <f>N59</f>
        <v>280</v>
      </c>
      <c r="Q157" t="s">
        <v>23</v>
      </c>
      <c r="Z157" s="57"/>
      <c r="AB157" t="s">
        <v>269</v>
      </c>
      <c r="AF157" s="142" t="s">
        <v>277</v>
      </c>
      <c r="AG157" s="143">
        <v>3</v>
      </c>
    </row>
    <row r="158" spans="1:33" ht="16.2" hidden="1" x14ac:dyDescent="0.3">
      <c r="J158" s="59" t="s">
        <v>192</v>
      </c>
      <c r="L158" s="3">
        <f>L157</f>
        <v>18.315842322972756</v>
      </c>
      <c r="M158" t="s">
        <v>25</v>
      </c>
      <c r="U158" s="26" t="s">
        <v>51</v>
      </c>
      <c r="V158" s="52"/>
      <c r="W158" s="52"/>
      <c r="X158" s="48"/>
      <c r="Z158" s="57"/>
      <c r="AB158" t="s">
        <v>276</v>
      </c>
      <c r="AE158" s="3">
        <f>C6*AG157*AG157*AG157/12</f>
        <v>1.9799999999999998</v>
      </c>
      <c r="AF158" t="s">
        <v>203</v>
      </c>
      <c r="AG158" s="40"/>
    </row>
    <row r="159" spans="1:33" hidden="1" x14ac:dyDescent="0.3">
      <c r="J159" s="59" t="s">
        <v>193</v>
      </c>
      <c r="L159" s="3">
        <f>1.5*L157</f>
        <v>27.473763484459134</v>
      </c>
      <c r="M159" t="s">
        <v>25</v>
      </c>
      <c r="U159" s="62" t="s">
        <v>52</v>
      </c>
      <c r="V159" s="13"/>
      <c r="W159" s="62" t="s">
        <v>53</v>
      </c>
      <c r="X159" s="13"/>
      <c r="AB159" t="s">
        <v>278</v>
      </c>
      <c r="AE159">
        <f>30.53+9.64+57.06</f>
        <v>97.23</v>
      </c>
      <c r="AF159" t="s">
        <v>25</v>
      </c>
      <c r="AG159" s="40"/>
    </row>
    <row r="160" spans="1:33" hidden="1" x14ac:dyDescent="0.3">
      <c r="J160" s="59" t="s">
        <v>194</v>
      </c>
      <c r="L160" s="3">
        <f>L158+L159</f>
        <v>45.78960580743189</v>
      </c>
      <c r="M160" t="s">
        <v>25</v>
      </c>
      <c r="N160" s="82" t="s">
        <v>195</v>
      </c>
      <c r="O160" s="3">
        <f>Q63</f>
        <v>56.565190222360293</v>
      </c>
      <c r="P160" t="s">
        <v>25</v>
      </c>
      <c r="S160" s="26" t="s">
        <v>54</v>
      </c>
      <c r="T160" s="48"/>
      <c r="U160" s="63" t="s">
        <v>55</v>
      </c>
      <c r="V160" s="15"/>
      <c r="W160" s="63" t="s">
        <v>55</v>
      </c>
      <c r="X160" s="15"/>
      <c r="AB160" t="s">
        <v>270</v>
      </c>
      <c r="AE160">
        <v>57.06</v>
      </c>
      <c r="AF160" t="s">
        <v>25</v>
      </c>
      <c r="AG160" s="40"/>
    </row>
    <row r="161" spans="10:36" ht="16.2" hidden="1" x14ac:dyDescent="0.3">
      <c r="N161" s="2" t="str">
        <f>IF(L160&lt;O161,"&lt; Sn=","&gt; Sn=")</f>
        <v>&gt; Sn=</v>
      </c>
      <c r="O161" s="3">
        <f>M149/SIN(K63)</f>
        <v>34.283523532028077</v>
      </c>
      <c r="P161" t="s">
        <v>25</v>
      </c>
      <c r="S161" s="54" t="s">
        <v>56</v>
      </c>
      <c r="T161" s="48"/>
      <c r="U161" s="26" t="s">
        <v>57</v>
      </c>
      <c r="V161" s="48"/>
      <c r="W161" s="26" t="s">
        <v>57</v>
      </c>
      <c r="X161" s="48"/>
      <c r="Y161" s="4">
        <f>0.58*N59</f>
        <v>162.39999999999998</v>
      </c>
      <c r="AB161" t="s">
        <v>333</v>
      </c>
      <c r="AE161" s="3">
        <f>5.34+(2.1/C6)*((AE158+AE158)/AE159)^0.33333</f>
        <v>6.1610562089810017</v>
      </c>
      <c r="AG161" s="40"/>
    </row>
    <row r="162" spans="10:36" hidden="1" x14ac:dyDescent="0.3">
      <c r="J162" t="str">
        <f>IF(L160&lt;O161,"Врши се редукција","Није потребна редукција")</f>
        <v>Није потребна редукција</v>
      </c>
      <c r="S162" s="64" t="s">
        <v>58</v>
      </c>
      <c r="T162" s="48"/>
      <c r="U162" s="26" t="s">
        <v>59</v>
      </c>
      <c r="V162" s="48"/>
      <c r="W162" s="26" t="s">
        <v>59</v>
      </c>
      <c r="X162" s="48"/>
      <c r="Y162" s="4">
        <f>0.48*N59/W156</f>
        <v>100.48978778742946</v>
      </c>
      <c r="AB162" s="140" t="s">
        <v>271</v>
      </c>
      <c r="AE162" s="3">
        <f>(0.346*AE159/C6)*SQRT(5.34*C5/(N60*AE161))</f>
        <v>1.2995892902262913</v>
      </c>
      <c r="AG162" s="40"/>
    </row>
    <row r="163" spans="10:36" hidden="1" x14ac:dyDescent="0.3">
      <c r="J163" s="59" t="s">
        <v>196</v>
      </c>
      <c r="K163" t="str">
        <f>IF(L160&lt;O161,"","0.4Sn =")</f>
        <v>0.4Sn =</v>
      </c>
      <c r="L163" s="3">
        <f>IF(L160&lt;O161,L158,0.4*O161)</f>
        <v>13.713409412811231</v>
      </c>
      <c r="M163" t="s">
        <v>25</v>
      </c>
      <c r="O163" t="s">
        <v>197</v>
      </c>
      <c r="P163" s="3">
        <f>L163*SIN(K63)</f>
        <v>12.015102712944886</v>
      </c>
      <c r="Q163" t="s">
        <v>25</v>
      </c>
      <c r="S163" s="26" t="s">
        <v>60</v>
      </c>
      <c r="T163" s="48"/>
      <c r="U163" s="26" t="s">
        <v>61</v>
      </c>
      <c r="V163" s="48"/>
      <c r="W163" s="26" t="s">
        <v>59</v>
      </c>
      <c r="X163" s="48"/>
      <c r="Y163" s="4">
        <f>0.67*N59/(W156*W156)</f>
        <v>104.87649260923467</v>
      </c>
      <c r="AB163" t="s">
        <v>272</v>
      </c>
      <c r="AE163" s="3">
        <f>0.346*AE160*SQRT(C5/N60)/C6</f>
        <v>0.81920871207656776</v>
      </c>
      <c r="AG163" s="40"/>
    </row>
    <row r="164" spans="10:36" hidden="1" x14ac:dyDescent="0.3">
      <c r="J164" s="59" t="s">
        <v>198</v>
      </c>
      <c r="K164" t="str">
        <f>IF(L160&lt;O161,"","0.6 Sn")</f>
        <v>0.6 Sn</v>
      </c>
      <c r="L164" s="3">
        <f>IF(L160&lt;O161,L159,0.6*O161)</f>
        <v>20.570114119216846</v>
      </c>
      <c r="M164" t="s">
        <v>25</v>
      </c>
      <c r="O164" t="s">
        <v>199</v>
      </c>
      <c r="P164" s="3">
        <f>L164*SIN(K63)</f>
        <v>18.022654069417328</v>
      </c>
      <c r="Q164" t="s">
        <v>25</v>
      </c>
      <c r="AB164" t="s">
        <v>273</v>
      </c>
      <c r="AE164" s="3">
        <f>0.67*C5/(AE162*AE162)</f>
        <v>111.07609074393457</v>
      </c>
      <c r="AF164" t="s">
        <v>23</v>
      </c>
      <c r="AG164" s="40"/>
    </row>
    <row r="165" spans="10:36" hidden="1" x14ac:dyDescent="0.3">
      <c r="S165" s="20" t="s">
        <v>62</v>
      </c>
      <c r="T165" s="65">
        <f>IF(W156&lt;0.83,Y161,IF(W156&lt;1.4,Y162,IF(W156&gt;=1.4,Y163)))</f>
        <v>100.48978778742946</v>
      </c>
      <c r="U165" s="20" t="s">
        <v>23</v>
      </c>
      <c r="V165" s="20"/>
      <c r="W165" s="20"/>
      <c r="X165" s="20"/>
      <c r="AG165" s="40"/>
    </row>
    <row r="166" spans="10:36" ht="15.6" hidden="1" x14ac:dyDescent="0.35">
      <c r="J166" t="s">
        <v>172</v>
      </c>
      <c r="S166" s="30" t="s">
        <v>63</v>
      </c>
      <c r="T166" s="66" t="s">
        <v>64</v>
      </c>
      <c r="U166" s="67"/>
      <c r="V166" s="20"/>
      <c r="W166" s="65">
        <f>K65/SIN(K63)*N56*T165/X152/1000</f>
        <v>8.2379498905637139</v>
      </c>
      <c r="X166" t="s">
        <v>48</v>
      </c>
      <c r="AB166" s="56" t="s">
        <v>63</v>
      </c>
      <c r="AC166" s="1"/>
      <c r="AD166" s="141" t="s">
        <v>274</v>
      </c>
      <c r="AE166" s="65">
        <f>(K65/SIN(K63))*C6*AE164/X152/1000</f>
        <v>9.1057936307305614</v>
      </c>
      <c r="AF166" s="20" t="s">
        <v>48</v>
      </c>
      <c r="AG166" s="40"/>
    </row>
    <row r="167" spans="10:36" hidden="1" x14ac:dyDescent="0.3">
      <c r="K167" s="2" t="s">
        <v>41</v>
      </c>
      <c r="L167" s="2" t="s">
        <v>111</v>
      </c>
      <c r="M167" s="2" t="s">
        <v>40</v>
      </c>
      <c r="N167" s="2" t="s">
        <v>112</v>
      </c>
      <c r="O167" s="2" t="s">
        <v>113</v>
      </c>
      <c r="P167" s="2" t="s">
        <v>114</v>
      </c>
      <c r="Q167" s="2" t="s">
        <v>115</v>
      </c>
      <c r="R167" s="2" t="s">
        <v>116</v>
      </c>
      <c r="S167" s="30"/>
      <c r="T167" s="20"/>
      <c r="U167" s="67"/>
      <c r="V167" s="20"/>
      <c r="W167" s="20"/>
      <c r="X167" s="20"/>
      <c r="AG167" s="40"/>
    </row>
    <row r="168" spans="10:36" ht="15.6" hidden="1" x14ac:dyDescent="0.35">
      <c r="J168">
        <v>1</v>
      </c>
      <c r="K168" s="2">
        <v>2</v>
      </c>
      <c r="L168" s="3">
        <f>L83</f>
        <v>22.5</v>
      </c>
      <c r="M168" s="3">
        <f>K168*L168</f>
        <v>45</v>
      </c>
      <c r="N168" s="3">
        <f>N83</f>
        <v>81.62</v>
      </c>
      <c r="O168" s="3">
        <f>M168*N168</f>
        <v>3672.9</v>
      </c>
      <c r="P168" s="3">
        <f>O168*N168</f>
        <v>299782.098</v>
      </c>
      <c r="Q168">
        <f>Q83</f>
        <v>0</v>
      </c>
      <c r="R168">
        <f>M168*Q168*Q168/12</f>
        <v>0</v>
      </c>
      <c r="S168" s="30" t="s">
        <v>65</v>
      </c>
      <c r="T168" s="20"/>
      <c r="U168" s="20" t="s">
        <v>66</v>
      </c>
      <c r="V168" s="20"/>
      <c r="W168" s="20"/>
      <c r="X168" s="20"/>
      <c r="AB168" s="56" t="s">
        <v>65</v>
      </c>
      <c r="AC168" s="20"/>
      <c r="AD168" s="20" t="s">
        <v>66</v>
      </c>
      <c r="AG168" s="40"/>
    </row>
    <row r="169" spans="10:36" hidden="1" x14ac:dyDescent="0.3">
      <c r="J169">
        <v>2</v>
      </c>
      <c r="K169" s="2">
        <v>2</v>
      </c>
      <c r="L169" s="3">
        <f>L84</f>
        <v>30.382674812736706</v>
      </c>
      <c r="M169" s="3">
        <f t="shared" ref="M169:M174" si="9">K169*L169</f>
        <v>60.765349625473412</v>
      </c>
      <c r="N169" s="3">
        <f>N84</f>
        <v>68.31</v>
      </c>
      <c r="O169" s="3">
        <f t="shared" ref="O169:O174" si="10">M169*N169</f>
        <v>4150.8810329160888</v>
      </c>
      <c r="P169" s="3">
        <f t="shared" ref="P169:P174" si="11">O169*N169</f>
        <v>283546.68335849803</v>
      </c>
      <c r="Q169">
        <f>Q84</f>
        <v>26.620000000000005</v>
      </c>
      <c r="R169">
        <f t="shared" ref="R169:R174" si="12">M169*Q169*Q169/12</f>
        <v>3588.3174515951109</v>
      </c>
      <c r="S169" s="30"/>
      <c r="T169" s="20"/>
      <c r="U169" s="20"/>
      <c r="V169" s="20"/>
      <c r="W169" s="20"/>
      <c r="X169" s="20"/>
      <c r="AE169" s="20"/>
      <c r="AG169" s="40"/>
    </row>
    <row r="170" spans="10:36" ht="15.6" hidden="1" x14ac:dyDescent="0.35">
      <c r="J170">
        <v>3</v>
      </c>
      <c r="K170" s="2">
        <v>2</v>
      </c>
      <c r="L170" s="3">
        <f>L85</f>
        <v>7.0710678118654755</v>
      </c>
      <c r="M170" s="3">
        <f t="shared" si="9"/>
        <v>14.142135623730951</v>
      </c>
      <c r="N170" s="3">
        <f>N85</f>
        <v>52.06</v>
      </c>
      <c r="O170" s="3">
        <f t="shared" si="10"/>
        <v>736.23958057143329</v>
      </c>
      <c r="P170" s="3">
        <f t="shared" si="11"/>
        <v>38328.632564548818</v>
      </c>
      <c r="Q170">
        <f>Q85</f>
        <v>5</v>
      </c>
      <c r="R170">
        <f t="shared" si="12"/>
        <v>29.462782549439481</v>
      </c>
      <c r="S170" s="30" t="s">
        <v>67</v>
      </c>
      <c r="T170" s="65">
        <f>IF(W166&lt;=W153,W166,W153)</f>
        <v>8.2379498905637139</v>
      </c>
      <c r="U170" t="s">
        <v>48</v>
      </c>
      <c r="V170" s="20"/>
      <c r="W170" s="20"/>
      <c r="X170" s="20"/>
      <c r="AB170" s="56" t="s">
        <v>67</v>
      </c>
      <c r="AC170" s="65">
        <f>IF(AE166&lt;=W153,AE166,W153)</f>
        <v>9.1057936307305614</v>
      </c>
      <c r="AD170" s="20" t="s">
        <v>48</v>
      </c>
      <c r="AF170" s="65">
        <f>AC170*SIN(K63)*2*(1000/K55)</f>
        <v>53.187379088916991</v>
      </c>
      <c r="AG170" s="40"/>
    </row>
    <row r="171" spans="10:36" hidden="1" x14ac:dyDescent="0.3">
      <c r="J171">
        <v>4</v>
      </c>
      <c r="K171" s="2">
        <v>2</v>
      </c>
      <c r="L171" s="3">
        <f>Q171/SIN(K63)</f>
        <v>22.783859662443557</v>
      </c>
      <c r="M171" s="3">
        <f t="shared" si="9"/>
        <v>45.567719324887115</v>
      </c>
      <c r="N171" s="3">
        <f>M149+Q171/2</f>
        <v>40.018878391181104</v>
      </c>
      <c r="O171" s="3">
        <f t="shared" si="10"/>
        <v>1823.5690182261305</v>
      </c>
      <c r="P171" s="3">
        <f t="shared" si="11"/>
        <v>72977.186778317031</v>
      </c>
      <c r="Q171" s="3">
        <f>M150-K66-Q55</f>
        <v>19.962243217637784</v>
      </c>
      <c r="R171">
        <f t="shared" si="12"/>
        <v>1513.1944226405883</v>
      </c>
      <c r="AB171" s="41"/>
      <c r="AC171" s="20"/>
      <c r="AD171" s="20"/>
      <c r="AE171" s="20"/>
      <c r="AF171" s="20"/>
      <c r="AG171" s="40"/>
    </row>
    <row r="172" spans="10:36" ht="15.6" hidden="1" x14ac:dyDescent="0.35">
      <c r="J172">
        <v>5</v>
      </c>
      <c r="K172" s="25">
        <v>2</v>
      </c>
      <c r="L172" s="3">
        <f>L164</f>
        <v>20.570114119216846</v>
      </c>
      <c r="M172" s="3">
        <f t="shared" si="9"/>
        <v>41.140228238433693</v>
      </c>
      <c r="N172" s="3">
        <f>M149-Q172/2</f>
        <v>21.026429747653552</v>
      </c>
      <c r="O172" s="3">
        <f t="shared" si="10"/>
        <v>865.0321188578589</v>
      </c>
      <c r="P172" s="3">
        <f t="shared" si="11"/>
        <v>18188.537076628669</v>
      </c>
      <c r="Q172" s="3">
        <f>P164</f>
        <v>18.022654069417328</v>
      </c>
      <c r="R172">
        <f t="shared" si="12"/>
        <v>1113.5839026507344</v>
      </c>
      <c r="S172" t="s">
        <v>68</v>
      </c>
      <c r="T172" s="66" t="s">
        <v>69</v>
      </c>
      <c r="W172" s="138">
        <f>T170*SIN(K63)*2*1000/300</f>
        <v>48.118262011365303</v>
      </c>
      <c r="X172" t="s">
        <v>10</v>
      </c>
      <c r="AB172" s="41" t="s">
        <v>68</v>
      </c>
      <c r="AC172" s="72" t="s">
        <v>69</v>
      </c>
      <c r="AD172" s="20"/>
      <c r="AE172" s="20"/>
      <c r="AF172" s="73">
        <f>AC170*SIN(K63)*2*1000/K55</f>
        <v>53.187379088916991</v>
      </c>
      <c r="AG172" s="40" t="s">
        <v>10</v>
      </c>
    </row>
    <row r="173" spans="10:36" hidden="1" x14ac:dyDescent="0.3">
      <c r="K173" s="47">
        <v>2</v>
      </c>
      <c r="L173" s="3">
        <f>L163</f>
        <v>13.713409412811231</v>
      </c>
      <c r="M173" s="3">
        <f t="shared" si="9"/>
        <v>27.426818825622462</v>
      </c>
      <c r="N173" s="3">
        <f>Q173/2</f>
        <v>6.007551356472443</v>
      </c>
      <c r="O173" s="3">
        <f t="shared" si="10"/>
        <v>164.76802263959215</v>
      </c>
      <c r="P173" s="3">
        <f t="shared" si="11"/>
        <v>989.85235791176399</v>
      </c>
      <c r="Q173" s="3">
        <f>P163</f>
        <v>12.015102712944886</v>
      </c>
      <c r="R173">
        <f t="shared" si="12"/>
        <v>329.95078597058802</v>
      </c>
      <c r="AB173" s="41"/>
      <c r="AC173" s="20"/>
      <c r="AD173" s="20"/>
      <c r="AE173" s="20"/>
      <c r="AF173" s="20"/>
      <c r="AG173" s="40"/>
    </row>
    <row r="174" spans="10:36" hidden="1" x14ac:dyDescent="0.3">
      <c r="K174" s="108">
        <v>1</v>
      </c>
      <c r="L174" s="88">
        <f>L146</f>
        <v>145.2657314501912</v>
      </c>
      <c r="M174" s="88">
        <f t="shared" si="9"/>
        <v>145.2657314501912</v>
      </c>
      <c r="N174" s="14">
        <v>0</v>
      </c>
      <c r="O174" s="88">
        <f t="shared" si="10"/>
        <v>0</v>
      </c>
      <c r="P174" s="88">
        <f t="shared" si="11"/>
        <v>0</v>
      </c>
      <c r="Q174" s="14">
        <v>0</v>
      </c>
      <c r="R174" s="14">
        <f t="shared" si="12"/>
        <v>0</v>
      </c>
      <c r="S174" s="137" t="s">
        <v>70</v>
      </c>
      <c r="T174" s="12"/>
      <c r="U174" s="12"/>
      <c r="V174" s="12"/>
      <c r="W174" s="12"/>
      <c r="X174" s="12"/>
      <c r="Y174" s="12"/>
      <c r="Z174" s="12"/>
      <c r="AA174" s="12"/>
      <c r="AB174" s="46"/>
      <c r="AC174" s="12"/>
      <c r="AD174" s="12"/>
      <c r="AE174" s="12"/>
      <c r="AF174" s="12"/>
      <c r="AG174" s="12"/>
      <c r="AH174" s="12"/>
      <c r="AI174" s="12"/>
      <c r="AJ174" s="13"/>
    </row>
    <row r="175" spans="10:36" ht="15.6" hidden="1" x14ac:dyDescent="0.35">
      <c r="M175" s="3">
        <f>SUM(M168:M174)</f>
        <v>379.3079830883388</v>
      </c>
      <c r="O175" s="3">
        <f>SUM(O168:O174)</f>
        <v>11413.389773211104</v>
      </c>
      <c r="P175" s="3">
        <f>SUM(P168:P174)</f>
        <v>713812.9901359044</v>
      </c>
      <c r="R175">
        <f>SUM(R168:R174)</f>
        <v>6574.5093454064618</v>
      </c>
      <c r="S175" s="20"/>
      <c r="T175" s="20"/>
      <c r="U175" s="20"/>
      <c r="V175" s="20"/>
      <c r="W175" s="20"/>
      <c r="X175" s="21" t="s">
        <v>248</v>
      </c>
      <c r="Y175" s="70">
        <v>1</v>
      </c>
      <c r="Z175" s="20"/>
      <c r="AB175" s="41" t="s">
        <v>68</v>
      </c>
      <c r="AC175" s="71" t="s">
        <v>360</v>
      </c>
      <c r="AD175" s="20"/>
      <c r="AE175" s="25"/>
      <c r="AF175" s="6"/>
      <c r="AG175" s="7" t="s">
        <v>341</v>
      </c>
      <c r="AH175" s="7" t="s">
        <v>364</v>
      </c>
    </row>
    <row r="176" spans="10:36" ht="15.6" hidden="1" x14ac:dyDescent="0.35">
      <c r="J176" t="s">
        <v>118</v>
      </c>
      <c r="N176" s="3">
        <f>O175/M175</f>
        <v>30.090033118424998</v>
      </c>
      <c r="O176" t="s">
        <v>25</v>
      </c>
      <c r="S176" t="s">
        <v>71</v>
      </c>
      <c r="T176" s="68" t="s">
        <v>249</v>
      </c>
      <c r="AB176" s="41" t="s">
        <v>68</v>
      </c>
      <c r="AC176" s="20" t="s">
        <v>362</v>
      </c>
      <c r="AD176" s="20"/>
      <c r="AE176" s="20"/>
      <c r="AF176" s="7">
        <v>1</v>
      </c>
      <c r="AG176" s="7">
        <v>0.5</v>
      </c>
      <c r="AH176" s="9">
        <f>100*$AD$177/(1.5*AG176*$C$8)</f>
        <v>1400.6746900484329</v>
      </c>
    </row>
    <row r="177" spans="10:34" hidden="1" x14ac:dyDescent="0.3">
      <c r="J177" t="s">
        <v>200</v>
      </c>
      <c r="N177" s="3">
        <f>N56*M175</f>
        <v>333.79102511773817</v>
      </c>
      <c r="O177" t="s">
        <v>201</v>
      </c>
      <c r="R177" s="20"/>
      <c r="X177" t="s">
        <v>73</v>
      </c>
      <c r="AB177" s="56" t="s">
        <v>363</v>
      </c>
      <c r="AC177" s="20"/>
      <c r="AD177" s="65">
        <f>AF172-IF(C9=1,K25,IF(C9=2,K26,IF(C9=3,K27,IF(C9=4,K28,IF(C9=5,K29)))))</f>
        <v>52.525300876816232</v>
      </c>
      <c r="AE177" s="20"/>
      <c r="AF177" s="7">
        <v>2</v>
      </c>
      <c r="AG177" s="7">
        <v>1.25</v>
      </c>
      <c r="AH177" s="9">
        <f>100*$AD$177/(1.5*AG177*$C$8)</f>
        <v>560.26987601937321</v>
      </c>
    </row>
    <row r="178" spans="10:34" hidden="1" x14ac:dyDescent="0.3">
      <c r="J178" t="s">
        <v>202</v>
      </c>
      <c r="N178" s="3">
        <f>N56*(P175+R175-M175*N176*N176)</f>
        <v>331723.23642646807</v>
      </c>
      <c r="O178" t="s">
        <v>203</v>
      </c>
      <c r="P178" s="44">
        <f>(N178/10000)*(100/(K55/10))</f>
        <v>110.57441214215604</v>
      </c>
      <c r="Q178" t="s">
        <v>204</v>
      </c>
      <c r="R178" s="20"/>
      <c r="S178" s="59" t="s">
        <v>72</v>
      </c>
      <c r="T178">
        <v>7.4999999999999997E-2</v>
      </c>
      <c r="U178" t="s">
        <v>240</v>
      </c>
      <c r="X178" s="1" t="s">
        <v>237</v>
      </c>
      <c r="Y178" s="2">
        <f>G32</f>
        <v>0</v>
      </c>
      <c r="Z178" t="s">
        <v>25</v>
      </c>
      <c r="AB178" s="41"/>
      <c r="AC178" s="20"/>
      <c r="AD178" s="20"/>
      <c r="AE178" s="20"/>
      <c r="AF178" s="7">
        <v>3</v>
      </c>
      <c r="AG178" s="7">
        <v>1.1000000000000001</v>
      </c>
      <c r="AH178" s="9">
        <f>100*$AD$177/(1.5*AG178*$C$8)</f>
        <v>636.67031365837863</v>
      </c>
    </row>
    <row r="179" spans="10:34" hidden="1" x14ac:dyDescent="0.3">
      <c r="J179" s="59" t="s">
        <v>205</v>
      </c>
      <c r="L179" s="1"/>
      <c r="N179" s="3">
        <f>N178/N176</f>
        <v>11024.355975977453</v>
      </c>
      <c r="O179" t="s">
        <v>206</v>
      </c>
      <c r="R179" s="20"/>
      <c r="S179" s="59" t="s">
        <v>72</v>
      </c>
      <c r="T179">
        <v>0.15</v>
      </c>
      <c r="U179" t="s">
        <v>241</v>
      </c>
      <c r="X179" s="1" t="s">
        <v>238</v>
      </c>
      <c r="Y179" s="2">
        <f>G32</f>
        <v>0</v>
      </c>
      <c r="Z179" t="s">
        <v>25</v>
      </c>
      <c r="AB179" s="56"/>
      <c r="AC179" s="20"/>
      <c r="AD179" s="65"/>
      <c r="AE179" s="20"/>
      <c r="AF179" s="7">
        <v>4</v>
      </c>
      <c r="AG179" s="7">
        <v>1.143</v>
      </c>
      <c r="AH179" s="9">
        <f>100*$AD$177/(1.5*AG179*$C$8)</f>
        <v>612.71858707280524</v>
      </c>
    </row>
    <row r="180" spans="10:34" hidden="1" x14ac:dyDescent="0.3">
      <c r="J180" s="59" t="s">
        <v>207</v>
      </c>
      <c r="L180" s="1"/>
      <c r="M180" s="3"/>
      <c r="R180" s="20"/>
      <c r="S180" s="59" t="s">
        <v>239</v>
      </c>
      <c r="T180">
        <v>10</v>
      </c>
      <c r="U180" t="s">
        <v>25</v>
      </c>
      <c r="AB180" s="41"/>
      <c r="AC180" s="20"/>
      <c r="AD180" s="20"/>
      <c r="AE180" s="20"/>
      <c r="AF180" s="7">
        <v>5</v>
      </c>
      <c r="AG180" s="7">
        <v>1.1319999999999999</v>
      </c>
      <c r="AH180" s="9">
        <f>100*$AD$177/(1.5*AG180*$C$8)</f>
        <v>618.67256627580957</v>
      </c>
    </row>
    <row r="181" spans="10:34" ht="15.6" hidden="1" x14ac:dyDescent="0.35">
      <c r="J181" s="59" t="s">
        <v>208</v>
      </c>
      <c r="L181" s="1"/>
      <c r="M181" s="3"/>
      <c r="N181">
        <f>N179*1000/K55</f>
        <v>36747.853253258174</v>
      </c>
      <c r="O181" t="s">
        <v>209</v>
      </c>
      <c r="P181" s="44">
        <f>N181/1000</f>
        <v>36.747853253258171</v>
      </c>
      <c r="Q181" t="s">
        <v>210</v>
      </c>
      <c r="R181" s="20"/>
      <c r="S181" t="s">
        <v>71</v>
      </c>
      <c r="T181" s="60" t="s">
        <v>246</v>
      </c>
      <c r="U181" s="106">
        <f>$C$6*$C$6*SQRT($C$5*$N$60)*(1-0.1*SQRT($N$57/$C$6))*(0.5+(SQRT(0.02*T180/$C$6)*(2.4+($K$64/90)^2)))/1000/Y175</f>
        <v>8.5958848017521596</v>
      </c>
      <c r="AB181" s="43"/>
      <c r="AC181" s="14"/>
      <c r="AD181" s="14"/>
      <c r="AE181" s="14"/>
      <c r="AF181" s="14"/>
      <c r="AG181" s="21" t="s">
        <v>371</v>
      </c>
      <c r="AH181" s="186">
        <f>IF(C9=1,AH176,IF(C9=2,AH177,IF(C9=3,AH178,IF(C9=4,AH179,IF(C9=5,AH180)))))</f>
        <v>636.67031365837863</v>
      </c>
    </row>
    <row r="182" spans="10:34" hidden="1" x14ac:dyDescent="0.3">
      <c r="J182" s="59"/>
      <c r="L182" s="101"/>
      <c r="M182" s="3"/>
      <c r="R182" s="20"/>
      <c r="S182" t="s">
        <v>240</v>
      </c>
    </row>
    <row r="183" spans="10:34" ht="15.6" hidden="1" x14ac:dyDescent="0.35">
      <c r="J183" s="102" t="s">
        <v>211</v>
      </c>
      <c r="L183" s="1"/>
      <c r="M183" s="3"/>
      <c r="S183" t="s">
        <v>242</v>
      </c>
      <c r="T183" s="3">
        <f>T178*U181</f>
        <v>0.64469136013141193</v>
      </c>
      <c r="U183" t="s">
        <v>48</v>
      </c>
      <c r="W183" t="s">
        <v>242</v>
      </c>
      <c r="X183" s="138">
        <f>2*T183*1000/K55</f>
        <v>4.2979424008760789</v>
      </c>
      <c r="Y183" t="s">
        <v>10</v>
      </c>
    </row>
    <row r="184" spans="10:34" hidden="1" x14ac:dyDescent="0.3">
      <c r="J184" s="102" t="s">
        <v>212</v>
      </c>
      <c r="L184" s="1"/>
      <c r="M184" s="3"/>
    </row>
    <row r="185" spans="10:34" ht="16.2" hidden="1" x14ac:dyDescent="0.3">
      <c r="J185" s="59" t="s">
        <v>213</v>
      </c>
      <c r="M185" s="44">
        <f>N59*N181/P185/1000000</f>
        <v>10.289398910912288</v>
      </c>
      <c r="N185" t="s">
        <v>17</v>
      </c>
      <c r="O185" s="60" t="s">
        <v>214</v>
      </c>
      <c r="P185" s="2">
        <v>1</v>
      </c>
      <c r="S185" t="s">
        <v>241</v>
      </c>
      <c r="AD185" t="s">
        <v>361</v>
      </c>
    </row>
    <row r="186" spans="10:34" ht="15.6" hidden="1" x14ac:dyDescent="0.35">
      <c r="S186" t="s">
        <v>243</v>
      </c>
      <c r="T186" s="3">
        <f>T179*U181</f>
        <v>1.2893827202628239</v>
      </c>
      <c r="U186" t="s">
        <v>48</v>
      </c>
      <c r="W186" t="s">
        <v>243</v>
      </c>
      <c r="X186" s="138">
        <f>2*T186*1000/K55</f>
        <v>8.5958848017521579</v>
      </c>
      <c r="Y186" t="s">
        <v>10</v>
      </c>
    </row>
    <row r="187" spans="10:34" hidden="1" x14ac:dyDescent="0.3">
      <c r="J187" t="s">
        <v>215</v>
      </c>
      <c r="O187" s="94" t="s">
        <v>123</v>
      </c>
    </row>
    <row r="188" spans="10:34" hidden="1" x14ac:dyDescent="0.3">
      <c r="J188" s="95" t="s">
        <v>216</v>
      </c>
      <c r="O188" s="95"/>
      <c r="S188" s="61" t="s">
        <v>250</v>
      </c>
    </row>
    <row r="189" spans="10:34" hidden="1" x14ac:dyDescent="0.3">
      <c r="S189" s="41" t="s">
        <v>29</v>
      </c>
      <c r="T189" s="5">
        <f>N56</f>
        <v>0.88</v>
      </c>
      <c r="X189" s="20"/>
      <c r="Z189" s="21" t="s">
        <v>251</v>
      </c>
      <c r="AA189" s="70">
        <f>K65/N56</f>
        <v>92.75</v>
      </c>
      <c r="AB189" s="20"/>
      <c r="AC189" s="20"/>
      <c r="AD189" s="20"/>
    </row>
    <row r="190" spans="10:34" hidden="1" x14ac:dyDescent="0.3">
      <c r="J190" s="20" t="s">
        <v>217</v>
      </c>
      <c r="K190" s="20"/>
      <c r="L190" s="20"/>
      <c r="M190" s="20"/>
      <c r="N190" s="20"/>
      <c r="O190" s="20"/>
      <c r="P190" s="20"/>
      <c r="Q190" s="20"/>
      <c r="S190" s="41"/>
      <c r="T190" s="20"/>
      <c r="U190" s="69"/>
      <c r="V190" s="20"/>
      <c r="W190" s="20"/>
      <c r="X190" s="20"/>
      <c r="Y190" s="20"/>
      <c r="Z190" t="s">
        <v>252</v>
      </c>
      <c r="AA190" s="125">
        <f>N57/N56</f>
        <v>5</v>
      </c>
      <c r="AB190" s="20"/>
      <c r="AC190" s="20"/>
      <c r="AD190" s="20"/>
    </row>
    <row r="191" spans="10:34" hidden="1" x14ac:dyDescent="0.3">
      <c r="J191" s="70" t="s">
        <v>218</v>
      </c>
      <c r="K191" s="25"/>
      <c r="L191" s="25"/>
      <c r="M191" s="25"/>
      <c r="N191" s="25"/>
      <c r="S191" s="126" t="s">
        <v>253</v>
      </c>
      <c r="T191" s="20"/>
      <c r="U191" s="127">
        <f>C5/228</f>
        <v>1.2280701754385965</v>
      </c>
      <c r="V191" s="20"/>
      <c r="W191" s="70" t="s">
        <v>254</v>
      </c>
      <c r="X191" s="25"/>
      <c r="Y191" s="25"/>
      <c r="Z191" s="128" t="s">
        <v>255</v>
      </c>
      <c r="AA191" s="70">
        <v>1</v>
      </c>
      <c r="AB191" s="20"/>
      <c r="AC191" s="20"/>
      <c r="AD191" s="20"/>
    </row>
    <row r="192" spans="10:34" hidden="1" x14ac:dyDescent="0.3">
      <c r="J192" s="70" t="s">
        <v>219</v>
      </c>
      <c r="K192" s="27"/>
      <c r="L192" s="27"/>
      <c r="M192" s="27"/>
      <c r="N192" s="109"/>
      <c r="O192" s="65"/>
      <c r="P192" s="21"/>
      <c r="Q192" s="110"/>
      <c r="S192" s="41" t="s">
        <v>256</v>
      </c>
      <c r="T192" s="20"/>
      <c r="U192" s="129">
        <f>1.33-0.33*U191</f>
        <v>0.92473684210526319</v>
      </c>
      <c r="V192" s="20"/>
      <c r="W192" s="25"/>
      <c r="X192" s="27"/>
      <c r="Y192" s="130"/>
      <c r="Z192" s="130"/>
      <c r="AA192" s="20"/>
      <c r="AB192" s="20"/>
      <c r="AC192" s="20"/>
      <c r="AD192" s="20"/>
    </row>
    <row r="193" spans="10:30" hidden="1" x14ac:dyDescent="0.3">
      <c r="J193" t="s">
        <v>220</v>
      </c>
      <c r="K193" s="27"/>
      <c r="L193" s="27">
        <f>K65-M90</f>
        <v>52.275534507596092</v>
      </c>
      <c r="M193" s="111" t="s">
        <v>25</v>
      </c>
      <c r="N193" s="109"/>
      <c r="O193" s="65"/>
      <c r="P193" s="21"/>
      <c r="Q193" s="110"/>
      <c r="S193" s="41" t="s">
        <v>257</v>
      </c>
      <c r="T193" s="20"/>
      <c r="U193" s="127">
        <f>IF(Z193&lt;0.5,AA193,AB193)</f>
        <v>0.5</v>
      </c>
      <c r="V193" s="20"/>
      <c r="W193" s="25" t="s">
        <v>258</v>
      </c>
      <c r="X193" s="27"/>
      <c r="Y193" s="20"/>
      <c r="Z193" s="131">
        <f>1.15-0.15*N57/C6</f>
        <v>0.39999999999999991</v>
      </c>
      <c r="AA193" s="6">
        <f>IF(Z193&lt;0.5,0.5,Z193)</f>
        <v>0.5</v>
      </c>
      <c r="AB193" s="26">
        <f>IF(Z193&gt;=1,1,Z193)</f>
        <v>0.39999999999999991</v>
      </c>
      <c r="AC193" s="20"/>
      <c r="AD193" s="20"/>
    </row>
    <row r="194" spans="10:30" hidden="1" x14ac:dyDescent="0.3">
      <c r="J194" t="s">
        <v>221</v>
      </c>
      <c r="L194" s="27">
        <f>M91</f>
        <v>340.77241824654499</v>
      </c>
      <c r="M194" s="5" t="s">
        <v>120</v>
      </c>
      <c r="N194" s="109"/>
      <c r="O194" s="65"/>
      <c r="P194" s="21"/>
      <c r="Q194" s="110"/>
      <c r="S194" s="132" t="s">
        <v>259</v>
      </c>
      <c r="T194" s="20"/>
      <c r="U194" s="127">
        <f>0.7+0.3*(K64/90)^2</f>
        <v>0.8386394537614017</v>
      </c>
      <c r="V194" s="20"/>
      <c r="W194" s="25"/>
      <c r="X194" s="27"/>
      <c r="Y194" s="130"/>
      <c r="Z194" s="130"/>
      <c r="AA194" s="20"/>
      <c r="AB194" s="20"/>
      <c r="AC194" s="20"/>
      <c r="AD194" s="20"/>
    </row>
    <row r="195" spans="10:30" hidden="1" x14ac:dyDescent="0.3">
      <c r="J195" s="25"/>
      <c r="K195" s="27"/>
      <c r="L195" s="27"/>
      <c r="M195" s="27"/>
      <c r="N195" s="109"/>
      <c r="O195" s="65"/>
      <c r="P195" s="21"/>
      <c r="Q195" s="110"/>
      <c r="S195" s="56" t="s">
        <v>260</v>
      </c>
      <c r="T195" s="20"/>
      <c r="U195" s="127">
        <f>1.22-0.22*U191</f>
        <v>0.94982456140350879</v>
      </c>
      <c r="V195" s="20"/>
      <c r="W195" s="133"/>
      <c r="X195" s="27"/>
      <c r="Y195" s="130"/>
      <c r="Z195" s="64" t="s">
        <v>266</v>
      </c>
      <c r="AA195" s="64" t="s">
        <v>265</v>
      </c>
      <c r="AB195" s="20"/>
      <c r="AC195" s="20"/>
      <c r="AD195" s="20"/>
    </row>
    <row r="196" spans="10:30" hidden="1" x14ac:dyDescent="0.3">
      <c r="J196" t="s">
        <v>126</v>
      </c>
      <c r="S196" s="56" t="s">
        <v>261</v>
      </c>
      <c r="T196" s="20"/>
      <c r="U196" s="97">
        <f>IF((1.06-0.06*N57/C6)&lt;=1,(1.06-0.06*N57/C6),1)</f>
        <v>0.76</v>
      </c>
      <c r="V196" s="20"/>
      <c r="W196" s="134" t="s">
        <v>262</v>
      </c>
      <c r="X196" s="20"/>
      <c r="Y196" s="20"/>
      <c r="Z196" s="135">
        <f>C24</f>
        <v>470.5616719711025</v>
      </c>
      <c r="AA196" s="135">
        <f>C25</f>
        <v>234.93512909443791</v>
      </c>
      <c r="AB196" s="20"/>
      <c r="AC196" s="20"/>
      <c r="AD196" s="20"/>
    </row>
    <row r="197" spans="10:30" hidden="1" x14ac:dyDescent="0.3">
      <c r="J197" t="s">
        <v>127</v>
      </c>
      <c r="K197" s="1" t="s">
        <v>128</v>
      </c>
      <c r="L197" s="5">
        <v>4</v>
      </c>
      <c r="S197" s="136"/>
      <c r="T197" s="20"/>
      <c r="U197" s="27"/>
      <c r="V197" s="27"/>
      <c r="W197" s="20"/>
      <c r="X197" s="20"/>
      <c r="Y197" s="27"/>
      <c r="Z197" s="27"/>
      <c r="AA197" s="20"/>
      <c r="AB197" s="20"/>
      <c r="AC197" s="20"/>
      <c r="AD197" s="20"/>
    </row>
    <row r="198" spans="10:30" hidden="1" x14ac:dyDescent="0.3">
      <c r="J198" t="s">
        <v>129</v>
      </c>
      <c r="O198" s="60" t="s">
        <v>130</v>
      </c>
      <c r="P198" s="3">
        <v>1</v>
      </c>
      <c r="S198" s="30" t="s">
        <v>240</v>
      </c>
      <c r="V198" s="1" t="s">
        <v>324</v>
      </c>
      <c r="W198" s="3">
        <f>Z196/T189</f>
        <v>534.72917269443462</v>
      </c>
      <c r="X198" s="2" t="str">
        <f>IF(W198&gt;Y198,"&gt;","&lt;")</f>
        <v>&gt;</v>
      </c>
      <c r="Y198" s="2">
        <v>60</v>
      </c>
      <c r="AD198" s="20"/>
    </row>
    <row r="199" spans="10:30" ht="15.6" hidden="1" x14ac:dyDescent="0.35">
      <c r="J199" s="59" t="s">
        <v>131</v>
      </c>
      <c r="M199" s="96">
        <f>SQRT(235/N59)</f>
        <v>0.91612538131290433</v>
      </c>
      <c r="O199" s="59" t="s">
        <v>132</v>
      </c>
      <c r="S199" s="160" t="s">
        <v>325</v>
      </c>
      <c r="T199" s="20" t="s">
        <v>263</v>
      </c>
      <c r="U199" s="161" t="s">
        <v>326</v>
      </c>
      <c r="AA199" s="4">
        <f>U194*U195*U196*(14.7-(K65/N56)/49.5)*(1+0.007*Z196/N56)*N56*N56*N59/(AA191*1000)</f>
        <v>7.9858003472362062</v>
      </c>
      <c r="AB199" s="20" t="s">
        <v>48</v>
      </c>
      <c r="AC199" s="138">
        <f>2*AA199*1000/K55</f>
        <v>53.238668981574705</v>
      </c>
    </row>
    <row r="200" spans="10:30" ht="15.6" hidden="1" x14ac:dyDescent="0.35">
      <c r="J200" s="59" t="s">
        <v>222</v>
      </c>
      <c r="M200" s="97">
        <f>(K56/N56)/(28.4*M199*SQRT(L197))</f>
        <v>0.98271274931744923</v>
      </c>
      <c r="N200" s="2" t="str">
        <f>IF(M200&lt;0.673,"&lt;= 0.673","&gt; 0.673")</f>
        <v>&gt; 0.673</v>
      </c>
      <c r="O200" s="60" t="s">
        <v>134</v>
      </c>
      <c r="P200" s="77">
        <f>IF(M200&lt;=0.673,1,(M200-0.0055*(3+P198))/(M200*M200))</f>
        <v>0.9948105291476842</v>
      </c>
      <c r="S200" s="160" t="s">
        <v>327</v>
      </c>
      <c r="T200" s="20" t="s">
        <v>263</v>
      </c>
      <c r="U200" s="163" t="s">
        <v>328</v>
      </c>
      <c r="V200" s="20"/>
      <c r="W200" s="20"/>
      <c r="X200" s="20"/>
      <c r="Y200" s="27"/>
      <c r="Z200" s="27"/>
      <c r="AA200" s="27">
        <f>U194*U195*U196*(14.7-(K65/N56)/49.5)*(0.75+0.011*Z196/N56)*N56*N56*N59/AA191/1000</f>
        <v>11.166103984025865</v>
      </c>
      <c r="AB200" s="20" t="s">
        <v>48</v>
      </c>
      <c r="AC200" s="55">
        <f>2*AA200*1000/K55</f>
        <v>74.440693226839102</v>
      </c>
    </row>
    <row r="201" spans="10:30" ht="15.6" hidden="1" x14ac:dyDescent="0.35">
      <c r="J201" s="59" t="s">
        <v>223</v>
      </c>
      <c r="M201" s="84">
        <f>P200*K56</f>
        <v>44.766473811645788</v>
      </c>
      <c r="N201" t="s">
        <v>25</v>
      </c>
      <c r="T201" s="136"/>
      <c r="X201" t="s">
        <v>329</v>
      </c>
      <c r="Z201" s="20" t="s">
        <v>263</v>
      </c>
      <c r="AA201" s="162">
        <f>IF(W198&gt;Y198,AC200,AC199)</f>
        <v>74.440693226839102</v>
      </c>
      <c r="AB201" s="20" t="s">
        <v>10</v>
      </c>
    </row>
    <row r="202" spans="10:30" hidden="1" x14ac:dyDescent="0.3">
      <c r="J202" s="59" t="s">
        <v>224</v>
      </c>
      <c r="K202" t="s">
        <v>148</v>
      </c>
      <c r="M202" s="3">
        <f>0.5*M201</f>
        <v>22.383236905822894</v>
      </c>
      <c r="N202" t="s">
        <v>25</v>
      </c>
      <c r="S202" s="30" t="s">
        <v>264</v>
      </c>
      <c r="V202" s="1" t="s">
        <v>330</v>
      </c>
      <c r="W202" s="3">
        <f>AA196/N56</f>
        <v>266.97173760731579</v>
      </c>
      <c r="X202" s="2" t="str">
        <f>IF(W202&gt;Y202,"&gt;","&lt;")</f>
        <v>&gt;</v>
      </c>
      <c r="Y202" s="2">
        <v>60</v>
      </c>
    </row>
    <row r="203" spans="10:30" ht="15.6" hidden="1" x14ac:dyDescent="0.35">
      <c r="J203" s="59" t="s">
        <v>225</v>
      </c>
      <c r="K203" t="s">
        <v>148</v>
      </c>
      <c r="M203" s="3">
        <f>0.5*M201</f>
        <v>22.383236905822894</v>
      </c>
      <c r="N203" t="s">
        <v>25</v>
      </c>
      <c r="S203" s="160" t="s">
        <v>325</v>
      </c>
      <c r="T203" s="20" t="s">
        <v>263</v>
      </c>
      <c r="U203" s="161" t="s">
        <v>326</v>
      </c>
      <c r="AA203" s="4">
        <f>U194*U195*U196*(14.7-(K65/N56)/49.5)*(1+0.007*AA196/N56)*N56*N56*N59/(AA191*1000)</f>
        <v>4.8301028825476253</v>
      </c>
      <c r="AB203" s="20" t="s">
        <v>48</v>
      </c>
      <c r="AC203" s="138">
        <f>2*AA203*1000/K55</f>
        <v>32.200685883650834</v>
      </c>
    </row>
    <row r="204" spans="10:30" ht="15.6" hidden="1" x14ac:dyDescent="0.35">
      <c r="S204" s="160" t="s">
        <v>327</v>
      </c>
      <c r="T204" s="20" t="s">
        <v>263</v>
      </c>
      <c r="U204" s="23" t="s">
        <v>328</v>
      </c>
      <c r="V204" s="20"/>
      <c r="W204" s="20"/>
      <c r="X204" s="20"/>
      <c r="Y204" s="27"/>
      <c r="Z204" s="27"/>
      <c r="AA204" s="27">
        <f>U194*U195*U196*(14.7-(K65/N56)/49.5)*(0.75+0.011*AA196/N56)*N56*N56*N59/AA191/1000</f>
        <v>6.2071508252295269</v>
      </c>
      <c r="AB204" s="20" t="s">
        <v>48</v>
      </c>
      <c r="AC204" s="55">
        <f>2*AA204*1000/K55</f>
        <v>41.381005501530183</v>
      </c>
    </row>
    <row r="205" spans="10:30" ht="15.6" hidden="1" x14ac:dyDescent="0.35">
      <c r="J205" t="s">
        <v>172</v>
      </c>
      <c r="T205" s="136"/>
      <c r="X205" t="s">
        <v>329</v>
      </c>
      <c r="Z205" s="20" t="s">
        <v>263</v>
      </c>
      <c r="AA205" s="162">
        <f>IF(W202&gt;Y202,AC204,AC203)</f>
        <v>41.381005501530183</v>
      </c>
      <c r="AB205" s="20" t="s">
        <v>10</v>
      </c>
    </row>
    <row r="206" spans="10:30" hidden="1" x14ac:dyDescent="0.3">
      <c r="K206" s="2" t="s">
        <v>41</v>
      </c>
      <c r="L206" s="2" t="s">
        <v>111</v>
      </c>
      <c r="M206" s="2" t="s">
        <v>40</v>
      </c>
      <c r="N206" s="2" t="s">
        <v>112</v>
      </c>
      <c r="O206" s="2" t="s">
        <v>113</v>
      </c>
      <c r="P206" s="2" t="s">
        <v>114</v>
      </c>
      <c r="Q206" s="2" t="s">
        <v>115</v>
      </c>
      <c r="R206" s="2" t="s">
        <v>116</v>
      </c>
      <c r="S206" s="123"/>
      <c r="T206" s="25"/>
      <c r="U206" s="25"/>
      <c r="V206" s="25"/>
      <c r="W206" s="124"/>
      <c r="X206" s="124"/>
      <c r="Y206" s="123"/>
      <c r="Z206" s="123"/>
      <c r="AA206" s="20"/>
    </row>
    <row r="207" spans="10:30" hidden="1" x14ac:dyDescent="0.3">
      <c r="J207">
        <v>1</v>
      </c>
      <c r="K207" s="2">
        <v>2</v>
      </c>
      <c r="L207" s="4">
        <f>M202</f>
        <v>22.383236905822894</v>
      </c>
      <c r="M207" s="4">
        <f>K207*L207</f>
        <v>44.766473811645788</v>
      </c>
      <c r="N207" s="4">
        <v>0</v>
      </c>
      <c r="O207" s="84">
        <f>M207*N207</f>
        <v>0</v>
      </c>
      <c r="P207" s="3">
        <f>O207*N207</f>
        <v>0</v>
      </c>
      <c r="Q207" s="84">
        <v>0</v>
      </c>
      <c r="R207" s="84">
        <f>Q207*Q207*M207/12</f>
        <v>0</v>
      </c>
    </row>
    <row r="208" spans="10:30" hidden="1" x14ac:dyDescent="0.3">
      <c r="J208">
        <v>2</v>
      </c>
      <c r="K208" s="2">
        <v>2</v>
      </c>
      <c r="L208" s="4">
        <f>L143</f>
        <v>30.382674812736706</v>
      </c>
      <c r="M208" s="4">
        <f t="shared" ref="M208:M211" si="13">K208*L208</f>
        <v>60.765349625473412</v>
      </c>
      <c r="N208" s="4">
        <f>K66/2</f>
        <v>13.310000000000002</v>
      </c>
      <c r="O208" s="84">
        <f t="shared" ref="O208:O211" si="14">M208*N208</f>
        <v>808.78680351505125</v>
      </c>
      <c r="P208" s="3">
        <f t="shared" ref="P208:P211" si="15">O208*N208</f>
        <v>10764.952354785333</v>
      </c>
      <c r="Q208" s="84">
        <f>K66</f>
        <v>26.620000000000005</v>
      </c>
      <c r="R208" s="84">
        <f t="shared" ref="R208:R211" si="16">Q208*Q208*M208/12</f>
        <v>3588.3174515951118</v>
      </c>
      <c r="S208" s="46" t="s">
        <v>372</v>
      </c>
      <c r="T208" s="12"/>
      <c r="U208" s="12"/>
      <c r="V208" s="12"/>
      <c r="W208" s="12"/>
      <c r="X208" s="12"/>
      <c r="Y208" s="12"/>
      <c r="Z208" s="12"/>
      <c r="AA208" s="13"/>
    </row>
    <row r="209" spans="10:29" ht="15.6" hidden="1" x14ac:dyDescent="0.35">
      <c r="J209">
        <v>3</v>
      </c>
      <c r="K209" s="2">
        <v>2</v>
      </c>
      <c r="L209" s="4">
        <f>L144</f>
        <v>7.0710678118654755</v>
      </c>
      <c r="M209" s="4">
        <f t="shared" si="13"/>
        <v>14.142135623730951</v>
      </c>
      <c r="N209" s="4">
        <f>K66+Q55/2</f>
        <v>29.120000000000005</v>
      </c>
      <c r="O209" s="84">
        <f t="shared" si="14"/>
        <v>411.81898936304538</v>
      </c>
      <c r="P209" s="3">
        <f t="shared" si="15"/>
        <v>11992.168970251883</v>
      </c>
      <c r="Q209" s="84">
        <f>Q55</f>
        <v>5</v>
      </c>
      <c r="R209" s="84">
        <f t="shared" si="16"/>
        <v>29.462782549439481</v>
      </c>
      <c r="S209" s="6" t="s">
        <v>0</v>
      </c>
      <c r="T209" s="7" t="s">
        <v>365</v>
      </c>
      <c r="U209" s="17" t="s">
        <v>366</v>
      </c>
      <c r="V209" s="32" t="s">
        <v>367</v>
      </c>
      <c r="W209" s="7" t="s">
        <v>368</v>
      </c>
      <c r="X209" s="32" t="s">
        <v>341</v>
      </c>
      <c r="Y209" s="32" t="s">
        <v>369</v>
      </c>
      <c r="Z209" s="32" t="s">
        <v>370</v>
      </c>
      <c r="AA209" s="40"/>
    </row>
    <row r="210" spans="10:29" hidden="1" x14ac:dyDescent="0.3">
      <c r="J210">
        <v>4</v>
      </c>
      <c r="K210" s="2">
        <v>2</v>
      </c>
      <c r="L210" s="4">
        <f>L86</f>
        <v>56.565190222360293</v>
      </c>
      <c r="M210" s="4">
        <f t="shared" si="13"/>
        <v>113.13038044472059</v>
      </c>
      <c r="N210" s="4">
        <f>K65-Q54/2</f>
        <v>56.620000000000005</v>
      </c>
      <c r="O210" s="84">
        <f t="shared" si="14"/>
        <v>6405.4421407800801</v>
      </c>
      <c r="P210" s="3">
        <f t="shared" si="15"/>
        <v>362676.13401096815</v>
      </c>
      <c r="Q210" s="84">
        <f>Q54</f>
        <v>50</v>
      </c>
      <c r="R210" s="84">
        <f t="shared" si="16"/>
        <v>23568.82925931679</v>
      </c>
      <c r="S210" s="6"/>
      <c r="T210" s="7" t="s">
        <v>7</v>
      </c>
      <c r="U210" s="7" t="s">
        <v>7</v>
      </c>
      <c r="V210" s="7" t="s">
        <v>7</v>
      </c>
      <c r="W210" s="7" t="s">
        <v>7</v>
      </c>
      <c r="X210" s="7"/>
      <c r="Y210" s="7" t="s">
        <v>356</v>
      </c>
      <c r="Z210" s="7" t="s">
        <v>356</v>
      </c>
      <c r="AA210" s="40"/>
    </row>
    <row r="211" spans="10:29" hidden="1" x14ac:dyDescent="0.3">
      <c r="J211">
        <v>5</v>
      </c>
      <c r="K211" s="85">
        <v>1</v>
      </c>
      <c r="L211" s="86">
        <f>L87</f>
        <v>154.20351867714888</v>
      </c>
      <c r="M211" s="86">
        <f t="shared" si="13"/>
        <v>154.20351867714888</v>
      </c>
      <c r="N211" s="86">
        <f>K65</f>
        <v>81.62</v>
      </c>
      <c r="O211" s="90">
        <f t="shared" si="14"/>
        <v>12586.091194428893</v>
      </c>
      <c r="P211" s="88">
        <f t="shared" si="15"/>
        <v>1027276.7632892863</v>
      </c>
      <c r="Q211" s="90">
        <f>0</f>
        <v>0</v>
      </c>
      <c r="R211" s="90">
        <f t="shared" si="16"/>
        <v>0</v>
      </c>
      <c r="S211" s="7">
        <v>1</v>
      </c>
      <c r="T211" s="9">
        <f t="shared" ref="T211:U215" si="17">K25</f>
        <v>0.30094464186398007</v>
      </c>
      <c r="U211" s="9">
        <f t="shared" si="17"/>
        <v>0.30094464186398007</v>
      </c>
      <c r="V211" s="9">
        <f>$AA$205-T211</f>
        <v>41.080060859666204</v>
      </c>
      <c r="W211" s="9">
        <f>$AA$201-U211</f>
        <v>74.139748584975123</v>
      </c>
      <c r="X211" s="7">
        <v>0.5</v>
      </c>
      <c r="Y211" s="9">
        <f>100*V211/(1.5*X211*$C$8)</f>
        <v>1095.4682895910987</v>
      </c>
      <c r="Z211" s="9">
        <f>100*W211/(1.5*X211*$C$8)</f>
        <v>1977.0599622660034</v>
      </c>
      <c r="AA211" s="40"/>
    </row>
    <row r="212" spans="10:29" hidden="1" x14ac:dyDescent="0.3">
      <c r="M212" s="3">
        <f>SUM(M207:M211)</f>
        <v>387.00785818271959</v>
      </c>
      <c r="O212" s="84">
        <f>SUM(O207:O211)</f>
        <v>20212.13912808707</v>
      </c>
      <c r="P212" s="3">
        <f>SUM(P207:P211)</f>
        <v>1412710.0186252915</v>
      </c>
      <c r="R212" s="3">
        <f>SUM(R207:R211)</f>
        <v>27186.609493461343</v>
      </c>
      <c r="S212" s="7">
        <v>2</v>
      </c>
      <c r="T212" s="9">
        <f t="shared" si="17"/>
        <v>0.75236160465995017</v>
      </c>
      <c r="U212" s="9">
        <f t="shared" si="17"/>
        <v>0.22570848139798508</v>
      </c>
      <c r="V212" s="9">
        <f t="shared" ref="V212:V215" si="18">$AA$205-T212</f>
        <v>40.62864389687023</v>
      </c>
      <c r="W212" s="9">
        <f t="shared" ref="W212:W215" si="19">$AA$201-U212</f>
        <v>74.214984745441114</v>
      </c>
      <c r="X212" s="7">
        <v>1.25</v>
      </c>
      <c r="Y212" s="9">
        <f>100*V212/(1.5*X212*$C$8)</f>
        <v>433.37220156661579</v>
      </c>
      <c r="Z212" s="9">
        <f>100*W212/(1.5*X212*$C$8)</f>
        <v>791.62650395137189</v>
      </c>
      <c r="AA212" s="40"/>
    </row>
    <row r="213" spans="10:29" hidden="1" x14ac:dyDescent="0.3">
      <c r="J213" t="s">
        <v>118</v>
      </c>
      <c r="L213" s="51">
        <f>O212/M212</f>
        <v>52.226689202120106</v>
      </c>
      <c r="M213" t="s">
        <v>25</v>
      </c>
      <c r="S213" s="7">
        <v>3</v>
      </c>
      <c r="T213" s="9">
        <f t="shared" si="17"/>
        <v>0.66207821210075624</v>
      </c>
      <c r="U213" s="9">
        <f t="shared" si="17"/>
        <v>0.24075571349118408</v>
      </c>
      <c r="V213" s="9">
        <f t="shared" si="18"/>
        <v>40.718927289429423</v>
      </c>
      <c r="W213" s="9">
        <f t="shared" si="19"/>
        <v>74.199937513347919</v>
      </c>
      <c r="X213" s="7">
        <v>1.1000000000000001</v>
      </c>
      <c r="Y213" s="9">
        <f>100*V213/(1.5*X213*$C$8)</f>
        <v>493.56275502338696</v>
      </c>
      <c r="Z213" s="9">
        <f>100*W213/(1.5*X213*$C$8)</f>
        <v>899.39318197997477</v>
      </c>
      <c r="AA213" s="40"/>
    </row>
    <row r="214" spans="10:29" hidden="1" x14ac:dyDescent="0.3">
      <c r="S214" s="7">
        <v>4</v>
      </c>
      <c r="T214" s="9">
        <f t="shared" si="17"/>
        <v>0.68795945130105851</v>
      </c>
      <c r="U214" s="9">
        <f t="shared" si="17"/>
        <v>0.23654248850508836</v>
      </c>
      <c r="V214" s="9">
        <f t="shared" si="18"/>
        <v>40.693046050229121</v>
      </c>
      <c r="W214" s="9">
        <f t="shared" si="19"/>
        <v>74.204150738334008</v>
      </c>
      <c r="X214" s="7">
        <v>1.143</v>
      </c>
      <c r="Y214" s="9">
        <f>100*V214/(1.5*X214*$C$8)</f>
        <v>474.69286731092581</v>
      </c>
      <c r="Z214" s="9">
        <f>100*W214/(1.5*X214*$C$8)</f>
        <v>865.60689108584427</v>
      </c>
      <c r="AA214" s="40"/>
    </row>
    <row r="215" spans="10:29" hidden="1" x14ac:dyDescent="0.3">
      <c r="J215" s="59" t="s">
        <v>185</v>
      </c>
      <c r="S215" s="7">
        <v>5</v>
      </c>
      <c r="T215" s="9">
        <f t="shared" si="17"/>
        <v>0.68133866918005093</v>
      </c>
      <c r="U215" s="9">
        <f t="shared" si="17"/>
        <v>0.23774626707254429</v>
      </c>
      <c r="V215" s="9">
        <f t="shared" si="18"/>
        <v>40.699666832350132</v>
      </c>
      <c r="W215" s="9">
        <f t="shared" si="19"/>
        <v>74.202946959766564</v>
      </c>
      <c r="X215" s="7">
        <v>1.1319999999999999</v>
      </c>
      <c r="Y215" s="9">
        <f>100*V215/(1.5*X215*$C$8)</f>
        <v>479.38359048704513</v>
      </c>
      <c r="Z215" s="9">
        <f>100*W215/(1.5*X215*$C$8)</f>
        <v>874.00408668747423</v>
      </c>
      <c r="AA215" s="40"/>
    </row>
    <row r="216" spans="10:29" hidden="1" x14ac:dyDescent="0.3">
      <c r="J216" s="59" t="s">
        <v>226</v>
      </c>
      <c r="L216" s="3">
        <f>K66+Q55</f>
        <v>31.620000000000005</v>
      </c>
      <c r="M216" t="s">
        <v>25</v>
      </c>
      <c r="S216" s="41"/>
      <c r="T216" s="20"/>
      <c r="U216" s="20"/>
      <c r="V216" s="20"/>
      <c r="W216" s="20"/>
      <c r="X216" s="20"/>
      <c r="Y216" s="50">
        <f>IF(C9=1,Y211,IF(C9=2,Y212,IF(C9=3,Y213,IF(C9=Y214,IF(C9=5,Y215)))))</f>
        <v>493.56275502338696</v>
      </c>
      <c r="Z216" s="50">
        <f>IF(C9=1,Z211,IF(C9=2,Z212,IF(C9=3,Z213,IF(C9=Z214,IF(C9=5,Z215)))))</f>
        <v>899.39318197997477</v>
      </c>
      <c r="AA216" s="40"/>
    </row>
    <row r="217" spans="10:29" ht="15.6" hidden="1" x14ac:dyDescent="0.3">
      <c r="J217" s="59" t="str">
        <f>IF(L216&lt;L213,"Притиснути део ребра је са подужним укрућењем","Притиснути део ребра је без подужног укрућења")</f>
        <v>Притиснути део ребра је са подужним укрућењем</v>
      </c>
      <c r="O217" s="107" t="s">
        <v>191</v>
      </c>
      <c r="P217">
        <f>N59</f>
        <v>280</v>
      </c>
      <c r="Q217" t="s">
        <v>23</v>
      </c>
      <c r="S217" s="41"/>
      <c r="T217" s="20"/>
      <c r="U217" s="20"/>
      <c r="V217" s="20"/>
      <c r="W217" s="20"/>
      <c r="X217" s="20"/>
      <c r="Y217" s="21" t="s">
        <v>371</v>
      </c>
      <c r="Z217" s="185">
        <f>MIN(Y216:Z216)</f>
        <v>493.56275502338696</v>
      </c>
      <c r="AA217" s="40"/>
    </row>
    <row r="218" spans="10:29" ht="15.6" hidden="1" x14ac:dyDescent="0.35">
      <c r="J218" s="59" t="s">
        <v>188</v>
      </c>
      <c r="O218" s="107" t="s">
        <v>189</v>
      </c>
      <c r="P218" s="2">
        <v>1</v>
      </c>
      <c r="S218" s="43"/>
      <c r="T218" s="14"/>
      <c r="U218" s="14"/>
      <c r="V218" s="14"/>
      <c r="W218" s="14"/>
      <c r="X218" s="14"/>
      <c r="Y218" s="14"/>
      <c r="Z218" s="14"/>
      <c r="AA218" s="15"/>
    </row>
    <row r="219" spans="10:29" hidden="1" x14ac:dyDescent="0.3">
      <c r="J219" s="59" t="s">
        <v>190</v>
      </c>
      <c r="N219" s="3">
        <f>0.76*N56*SQRT(N60/(P218*P217))</f>
        <v>18.315842322972756</v>
      </c>
      <c r="O219" t="s">
        <v>25</v>
      </c>
    </row>
    <row r="220" spans="10:29" hidden="1" x14ac:dyDescent="0.3">
      <c r="J220" s="59" t="s">
        <v>192</v>
      </c>
      <c r="N220" s="3">
        <f>N219</f>
        <v>18.315842322972756</v>
      </c>
      <c r="O220" t="s">
        <v>25</v>
      </c>
    </row>
    <row r="221" spans="10:29" hidden="1" x14ac:dyDescent="0.3">
      <c r="J221" s="59" t="s">
        <v>227</v>
      </c>
      <c r="N221" s="3">
        <f>(1+0.5*K66/L213)*N220</f>
        <v>22.983644648624889</v>
      </c>
      <c r="O221" t="s">
        <v>25</v>
      </c>
    </row>
    <row r="222" spans="10:29" hidden="1" x14ac:dyDescent="0.3">
      <c r="J222" s="59" t="s">
        <v>228</v>
      </c>
      <c r="K222" s="112"/>
      <c r="N222" s="113">
        <f>(1+0.5*(K66+Q55)/L213)*N219</f>
        <v>23.860391892361207</v>
      </c>
      <c r="O222" s="114" t="s">
        <v>25</v>
      </c>
      <c r="P222" s="3"/>
      <c r="S222" s="20"/>
      <c r="W222" s="20"/>
      <c r="X222" s="27"/>
      <c r="Y222" s="27"/>
      <c r="Z222" s="27"/>
    </row>
    <row r="223" spans="10:29" hidden="1" x14ac:dyDescent="0.3">
      <c r="J223" s="102" t="s">
        <v>229</v>
      </c>
      <c r="L223" s="1"/>
      <c r="N223" s="3">
        <f>1.5*N219</f>
        <v>27.473763484459134</v>
      </c>
      <c r="O223" s="5" t="s">
        <v>25</v>
      </c>
      <c r="S223" s="46" t="s">
        <v>392</v>
      </c>
      <c r="W223" s="20"/>
      <c r="X223" s="27"/>
      <c r="Y223" s="27"/>
      <c r="Z223" s="27"/>
    </row>
    <row r="224" spans="10:29" hidden="1" x14ac:dyDescent="0.3">
      <c r="J224" s="59" t="s">
        <v>230</v>
      </c>
      <c r="L224" s="1"/>
      <c r="M224" s="3"/>
      <c r="N224" s="3">
        <f>SUM(N219:N223)</f>
        <v>110.94948467139074</v>
      </c>
      <c r="O224" t="s">
        <v>25</v>
      </c>
      <c r="S224" t="s">
        <v>391</v>
      </c>
      <c r="T224" s="3">
        <f>C17</f>
        <v>175.10703507345224</v>
      </c>
      <c r="U224" t="s">
        <v>373</v>
      </c>
      <c r="V224" s="3"/>
      <c r="W224" s="21" t="s">
        <v>36</v>
      </c>
      <c r="X224" s="21" t="s">
        <v>37</v>
      </c>
      <c r="Y224" s="27">
        <f>O3</f>
        <v>8.9168782774512625</v>
      </c>
      <c r="Z224" t="s">
        <v>373</v>
      </c>
      <c r="AB224" s="20"/>
      <c r="AC224" s="174"/>
    </row>
    <row r="225" spans="10:31" hidden="1" x14ac:dyDescent="0.3">
      <c r="J225" s="59" t="s">
        <v>231</v>
      </c>
      <c r="L225" s="84"/>
      <c r="N225" s="3">
        <f>N66-(K65-L213)/SIN(K63)-Q55/SIN(K63)+Q65</f>
        <v>60.973139205937564</v>
      </c>
      <c r="O225" t="s">
        <v>25</v>
      </c>
      <c r="P225" t="str">
        <f>IF(N225&lt;N224,"&lt; SumSeff","&gt; SumSeff")</f>
        <v>&lt; SumSeff</v>
      </c>
      <c r="S225" t="s">
        <v>374</v>
      </c>
      <c r="U225" s="3">
        <f>(1.35*Y224+1.5*T224)/100</f>
        <v>2.7469833828473753</v>
      </c>
      <c r="V225" t="s">
        <v>10</v>
      </c>
      <c r="AC225" s="182"/>
    </row>
    <row r="226" spans="10:31" hidden="1" x14ac:dyDescent="0.3">
      <c r="J226" s="59" t="str">
        <f>IF(N225&lt;N224,"Цело притиснуро ребро је активно","")</f>
        <v>Цело притиснуро ребро је активно</v>
      </c>
      <c r="L226" s="84"/>
      <c r="N226" s="83"/>
      <c r="O226" s="80"/>
      <c r="AC226" s="1"/>
    </row>
    <row r="227" spans="10:31" ht="15.6" hidden="1" x14ac:dyDescent="0.35">
      <c r="J227" s="59" t="s">
        <v>232</v>
      </c>
      <c r="K227" s="1"/>
      <c r="L227" s="5"/>
      <c r="N227" s="83"/>
      <c r="O227" s="80"/>
      <c r="S227" s="6" t="s">
        <v>0</v>
      </c>
      <c r="T227" s="17" t="s">
        <v>375</v>
      </c>
      <c r="U227" s="17" t="s">
        <v>376</v>
      </c>
      <c r="V227" s="7" t="s">
        <v>19</v>
      </c>
      <c r="W227" s="17" t="s">
        <v>244</v>
      </c>
      <c r="AC227" s="1"/>
    </row>
    <row r="228" spans="10:31" hidden="1" x14ac:dyDescent="0.3">
      <c r="J228" s="99" t="s">
        <v>233</v>
      </c>
      <c r="L228" s="103"/>
      <c r="N228" s="84">
        <f>L213</f>
        <v>52.226689202120106</v>
      </c>
      <c r="O228" s="80" t="s">
        <v>25</v>
      </c>
      <c r="S228" s="6"/>
      <c r="T228" s="28"/>
      <c r="U228" s="28"/>
      <c r="V228" s="7" t="s">
        <v>7</v>
      </c>
      <c r="W228" s="7" t="s">
        <v>7</v>
      </c>
      <c r="AC228" s="1"/>
      <c r="AD228" s="3"/>
    </row>
    <row r="229" spans="10:31" hidden="1" x14ac:dyDescent="0.3">
      <c r="J229" t="s">
        <v>200</v>
      </c>
      <c r="K229" s="1"/>
      <c r="L229" s="99"/>
      <c r="N229" s="3">
        <f>N56*M212</f>
        <v>340.56691520079323</v>
      </c>
      <c r="O229" t="s">
        <v>201</v>
      </c>
      <c r="S229" s="150">
        <v>1</v>
      </c>
      <c r="T229" s="7">
        <v>0.5</v>
      </c>
      <c r="U229" s="7">
        <v>0.5</v>
      </c>
      <c r="V229" s="9">
        <f>AA191*T229*$U$225*$C$8</f>
        <v>6.8674584571184383</v>
      </c>
      <c r="W229" s="9">
        <f>AA191*U229*$U$225*$C$8</f>
        <v>6.8674584571184383</v>
      </c>
      <c r="AE229" s="189"/>
    </row>
    <row r="230" spans="10:31" hidden="1" x14ac:dyDescent="0.3">
      <c r="J230" t="s">
        <v>202</v>
      </c>
      <c r="K230" s="1"/>
      <c r="L230" s="99"/>
      <c r="N230" s="3">
        <f>N56*(P212+R212-M212*N228*N228)</f>
        <v>338169.49739420199</v>
      </c>
      <c r="O230" t="s">
        <v>203</v>
      </c>
      <c r="P230" s="44">
        <f>(N230/10000)*(1000/K55)</f>
        <v>112.72316579806733</v>
      </c>
      <c r="Q230" t="s">
        <v>204</v>
      </c>
      <c r="S230" s="150">
        <v>2</v>
      </c>
      <c r="T230" s="7">
        <v>1.25</v>
      </c>
      <c r="U230" s="7">
        <v>0.375</v>
      </c>
      <c r="V230" s="9">
        <f>AA191*T230*$U$225*$C$8</f>
        <v>17.168646142796096</v>
      </c>
      <c r="W230" s="9">
        <f>AA191*U230*$U$225*$C$8</f>
        <v>5.1505938428388287</v>
      </c>
    </row>
    <row r="231" spans="10:31" hidden="1" x14ac:dyDescent="0.3">
      <c r="J231" s="59" t="s">
        <v>205</v>
      </c>
      <c r="K231" s="1"/>
      <c r="L231" s="99"/>
      <c r="N231" s="3">
        <f>N230/N228</f>
        <v>6475.0322595688149</v>
      </c>
      <c r="O231" t="s">
        <v>206</v>
      </c>
      <c r="S231" s="150">
        <v>3</v>
      </c>
      <c r="T231" s="7">
        <v>1.1000000000000001</v>
      </c>
      <c r="U231" s="7">
        <v>0.4</v>
      </c>
      <c r="V231" s="9">
        <f>AA191*T231*$U$225*$C$8</f>
        <v>15.108408605660566</v>
      </c>
      <c r="W231" s="9">
        <f>AA191*U231*$U$225*$C$8</f>
        <v>5.4939667656947506</v>
      </c>
    </row>
    <row r="232" spans="10:31" hidden="1" x14ac:dyDescent="0.3">
      <c r="S232" s="150">
        <v>4</v>
      </c>
      <c r="T232" s="7">
        <v>1.143</v>
      </c>
      <c r="U232" s="7">
        <v>0.39300000000000002</v>
      </c>
      <c r="V232" s="9">
        <f>AA191*T232*$U$225*$C$8</f>
        <v>15.699010032972751</v>
      </c>
      <c r="W232" s="9">
        <f>AA191*U232*$U$225*$C$8</f>
        <v>5.3978223472950928</v>
      </c>
    </row>
    <row r="233" spans="10:31" hidden="1" x14ac:dyDescent="0.3">
      <c r="J233" s="59" t="s">
        <v>207</v>
      </c>
      <c r="L233" s="1"/>
      <c r="M233" s="3"/>
      <c r="S233" s="150">
        <v>5</v>
      </c>
      <c r="T233" s="7">
        <v>1.1319999999999999</v>
      </c>
      <c r="U233" s="7">
        <v>0.39500000000000002</v>
      </c>
      <c r="V233" s="9">
        <f>AA191*T233*$U$225*$C$8</f>
        <v>15.547925946916143</v>
      </c>
      <c r="W233" s="9">
        <f>AA191*U233*$U$225*$C$8</f>
        <v>5.4252921811235666</v>
      </c>
      <c r="X233" s="123"/>
      <c r="Y233" s="123"/>
      <c r="Z233" s="123"/>
      <c r="AA233" s="20"/>
    </row>
    <row r="234" spans="10:31" hidden="1" x14ac:dyDescent="0.3">
      <c r="J234" s="59" t="s">
        <v>208</v>
      </c>
      <c r="L234" s="1"/>
      <c r="M234" s="3"/>
      <c r="N234" s="3">
        <f>N231*1000/K55</f>
        <v>21583.440865229382</v>
      </c>
      <c r="O234" t="s">
        <v>206</v>
      </c>
      <c r="P234" s="44">
        <f>N234/1000</f>
        <v>21.583440865229381</v>
      </c>
      <c r="Q234" t="s">
        <v>210</v>
      </c>
      <c r="V234" s="50">
        <f>IF(C9=1,V229,IF(C9=2,V230,IF(C9=3,V231,IF(C9=4,V232,IF(C9=5,V233)))))</f>
        <v>15.108408605660566</v>
      </c>
      <c r="W234" s="50">
        <f>IF(C9=1,W229,IF(C9=2,W230,IF(C9=3,W231,IF(C9=4,W232,IF(C9=5,W233)))))</f>
        <v>5.4939667656947506</v>
      </c>
    </row>
    <row r="235" spans="10:31" hidden="1" x14ac:dyDescent="0.3">
      <c r="S235" s="57"/>
      <c r="T235" s="57"/>
      <c r="U235" s="21" t="s">
        <v>393</v>
      </c>
      <c r="V235" s="50">
        <f>V234*K55/2000</f>
        <v>2.2662612908490849</v>
      </c>
      <c r="W235" s="50">
        <f>W234*K55/2000</f>
        <v>0.82409501485421266</v>
      </c>
      <c r="X235" s="57"/>
      <c r="Y235" s="57"/>
      <c r="Z235" s="57"/>
      <c r="AA235" s="57"/>
    </row>
    <row r="236" spans="10:31" hidden="1" x14ac:dyDescent="0.3">
      <c r="J236" s="102" t="s">
        <v>234</v>
      </c>
      <c r="L236" s="1"/>
      <c r="M236" s="3"/>
      <c r="S236" s="30"/>
      <c r="T236" s="57"/>
      <c r="U236" s="57"/>
      <c r="V236" s="57"/>
      <c r="W236" s="57"/>
      <c r="X236" s="57"/>
      <c r="Y236" s="57"/>
      <c r="Z236" s="57"/>
      <c r="AA236" s="57"/>
    </row>
    <row r="237" spans="10:31" hidden="1" x14ac:dyDescent="0.3">
      <c r="J237" s="102" t="s">
        <v>235</v>
      </c>
      <c r="L237" s="1"/>
      <c r="M237" s="3"/>
      <c r="S237" s="192" t="s">
        <v>390</v>
      </c>
      <c r="T237" s="27"/>
      <c r="U237" s="130"/>
      <c r="V237" s="130"/>
      <c r="W237" s="20"/>
      <c r="X237" s="20"/>
      <c r="Y237" s="20"/>
      <c r="Z237" s="20"/>
      <c r="AA237" s="193"/>
    </row>
    <row r="238" spans="10:31" ht="16.2" hidden="1" x14ac:dyDescent="0.3">
      <c r="J238" s="59" t="s">
        <v>236</v>
      </c>
      <c r="M238" s="44">
        <f>N59*N234/P238/1000000</f>
        <v>6.0433634422642273</v>
      </c>
      <c r="N238" t="s">
        <v>17</v>
      </c>
      <c r="O238" s="60" t="s">
        <v>214</v>
      </c>
      <c r="P238" s="2">
        <v>1</v>
      </c>
      <c r="S238" s="192" t="s">
        <v>387</v>
      </c>
      <c r="T238" s="27"/>
      <c r="U238" s="130"/>
      <c r="V238" s="130"/>
      <c r="W238" s="20"/>
      <c r="X238" s="20"/>
      <c r="Y238" s="20"/>
      <c r="Z238" s="20"/>
      <c r="AA238" s="193"/>
    </row>
    <row r="239" spans="10:31" ht="15" hidden="1" x14ac:dyDescent="0.3">
      <c r="S239" s="194" t="s">
        <v>394</v>
      </c>
      <c r="T239" s="20"/>
      <c r="U239" s="20"/>
      <c r="V239" s="20"/>
      <c r="W239" s="20"/>
      <c r="X239" s="20"/>
      <c r="Y239" s="21" t="s">
        <v>377</v>
      </c>
      <c r="Z239" s="195">
        <f>(W235*AA191/(U192*U193*U194*(9.04-K65/C6/60)*(C6*C6*C5/1000))-1)*100*C6</f>
        <v>27.093230790238035</v>
      </c>
      <c r="AA239" s="193" t="s">
        <v>25</v>
      </c>
    </row>
    <row r="240" spans="10:31" hidden="1" x14ac:dyDescent="0.3">
      <c r="J240" s="12" t="s">
        <v>279</v>
      </c>
      <c r="K240" s="12"/>
      <c r="L240" s="12"/>
      <c r="M240" s="12"/>
      <c r="N240" s="12"/>
      <c r="O240" s="12"/>
      <c r="P240" s="12"/>
      <c r="Q240" s="12"/>
      <c r="R240" s="12"/>
      <c r="S240" s="192"/>
      <c r="T240" s="20"/>
      <c r="U240" s="20"/>
      <c r="V240" s="20"/>
      <c r="W240" s="20"/>
      <c r="X240" s="20"/>
      <c r="Y240" s="21"/>
      <c r="Z240" s="195"/>
      <c r="AA240" s="193"/>
    </row>
    <row r="241" spans="10:31" hidden="1" x14ac:dyDescent="0.3">
      <c r="J241" t="s">
        <v>280</v>
      </c>
      <c r="S241" s="192" t="s">
        <v>395</v>
      </c>
      <c r="T241" s="20"/>
      <c r="U241" s="20"/>
      <c r="V241" s="20"/>
      <c r="W241" s="20"/>
      <c r="X241" s="20"/>
      <c r="Y241" s="20"/>
      <c r="Z241" s="196"/>
      <c r="AA241" s="193"/>
    </row>
    <row r="242" spans="10:31" ht="15" hidden="1" x14ac:dyDescent="0.35">
      <c r="J242" s="59" t="s">
        <v>281</v>
      </c>
      <c r="L242" s="3">
        <f>N59/1.5</f>
        <v>186.66666666666666</v>
      </c>
      <c r="M242" t="s">
        <v>23</v>
      </c>
      <c r="P242" s="1" t="s">
        <v>282</v>
      </c>
      <c r="Q242">
        <v>4</v>
      </c>
      <c r="S242" s="194" t="s">
        <v>396</v>
      </c>
      <c r="T242" s="20"/>
      <c r="U242" s="20"/>
      <c r="V242" s="25"/>
      <c r="W242" s="25"/>
      <c r="X242" s="20"/>
      <c r="Y242" s="21" t="s">
        <v>377</v>
      </c>
      <c r="Z242" s="45">
        <f>((W235*AA191/(U192*U193*U194*(5.92-K65/C6/132)*C6*C6*C5/1000))-0.71)*C6/0.015</f>
        <v>68.559463614134231</v>
      </c>
      <c r="AA242" s="193" t="s">
        <v>25</v>
      </c>
    </row>
    <row r="243" spans="10:31" hidden="1" x14ac:dyDescent="0.3">
      <c r="J243" s="59" t="s">
        <v>131</v>
      </c>
      <c r="L243" s="96">
        <f>SQRT(235/L242)</f>
        <v>1.1220198623146433</v>
      </c>
      <c r="S243" s="192"/>
      <c r="T243" s="20"/>
      <c r="U243" s="20"/>
      <c r="V243" s="20"/>
      <c r="W243" s="20"/>
      <c r="X243" s="20"/>
      <c r="Y243" s="21"/>
      <c r="Z243" s="20"/>
      <c r="AA243" s="193"/>
    </row>
    <row r="244" spans="10:31" hidden="1" x14ac:dyDescent="0.3">
      <c r="J244" t="s">
        <v>283</v>
      </c>
      <c r="M244" s="97"/>
      <c r="S244" s="197" t="s">
        <v>388</v>
      </c>
      <c r="T244" s="20"/>
      <c r="U244" s="20"/>
      <c r="V244" s="20"/>
      <c r="W244" s="20"/>
      <c r="X244" s="20"/>
      <c r="Y244" s="20"/>
      <c r="Z244" s="20"/>
      <c r="AA244" s="193"/>
    </row>
    <row r="245" spans="10:31" hidden="1" x14ac:dyDescent="0.3">
      <c r="J245" t="s">
        <v>296</v>
      </c>
      <c r="P245" s="1" t="s">
        <v>298</v>
      </c>
      <c r="Q245" s="2">
        <f>N55</f>
        <v>50</v>
      </c>
      <c r="R245" t="s">
        <v>25</v>
      </c>
      <c r="S245" s="194" t="s">
        <v>397</v>
      </c>
      <c r="T245" s="20"/>
      <c r="U245" s="20"/>
      <c r="V245" s="20"/>
      <c r="W245" s="20"/>
      <c r="X245" s="20"/>
      <c r="Y245" s="21" t="s">
        <v>389</v>
      </c>
      <c r="Z245" s="195">
        <f>((V235*AA191/(U194*U195*U196*(14.7-K65/C6/49.5)*C6*C6*C5/1000))-0.75)*C6/0.011</f>
        <v>47.682266018336414</v>
      </c>
      <c r="AA245" s="193" t="s">
        <v>25</v>
      </c>
    </row>
    <row r="246" spans="10:31" ht="15" hidden="1" thickBot="1" x14ac:dyDescent="0.35">
      <c r="J246" s="59" t="s">
        <v>133</v>
      </c>
      <c r="M246" s="144">
        <f>(N55/C6)/(28.4*L243*SQRT(Q242))</f>
        <v>0.89153511094642546</v>
      </c>
      <c r="N246" t="str">
        <f>IF(M246&lt;0.673,"&lt;= 0.673","&gt; 0.673")</f>
        <v>&gt; 0.673</v>
      </c>
      <c r="P246" s="60" t="s">
        <v>130</v>
      </c>
      <c r="Q246" s="3">
        <v>1</v>
      </c>
      <c r="S246" s="190"/>
      <c r="T246" s="191"/>
      <c r="U246" s="57"/>
      <c r="V246" s="57"/>
      <c r="W246" s="57"/>
      <c r="X246" s="57"/>
      <c r="Y246" s="57"/>
      <c r="Z246" s="57"/>
      <c r="AA246" s="57"/>
    </row>
    <row r="247" spans="10:31" hidden="1" x14ac:dyDescent="0.3">
      <c r="J247" s="59" t="s">
        <v>136</v>
      </c>
      <c r="L247" s="3">
        <f>Q248*N55</f>
        <v>54.699105513272272</v>
      </c>
      <c r="M247" t="s">
        <v>25</v>
      </c>
      <c r="P247" s="59" t="s">
        <v>132</v>
      </c>
      <c r="S247" s="198" t="s">
        <v>398</v>
      </c>
      <c r="T247" s="199"/>
      <c r="U247" s="199"/>
      <c r="V247" s="199"/>
      <c r="W247" s="199"/>
      <c r="X247" s="199"/>
      <c r="Y247" s="199"/>
      <c r="Z247" s="200"/>
      <c r="AA247" s="201"/>
    </row>
    <row r="248" spans="10:31" ht="16.2" hidden="1" x14ac:dyDescent="0.3">
      <c r="J248" s="59" t="s">
        <v>299</v>
      </c>
      <c r="P248" s="60" t="s">
        <v>134</v>
      </c>
      <c r="Q248" s="77">
        <f>IF(M246&lt;=0.673,1,(M246-0.0055*(3+Q246))/(M246*M246))</f>
        <v>1.0939821102654455</v>
      </c>
      <c r="S248" s="202" t="s">
        <v>399</v>
      </c>
      <c r="T248" s="203"/>
      <c r="U248" s="203"/>
      <c r="V248" s="203"/>
      <c r="W248" s="203"/>
      <c r="X248" s="203"/>
      <c r="Y248" s="203"/>
      <c r="Z248" s="203"/>
      <c r="AA248" s="204"/>
    </row>
    <row r="249" spans="10:31" ht="16.2" hidden="1" x14ac:dyDescent="0.3">
      <c r="J249" s="59" t="s">
        <v>300</v>
      </c>
      <c r="P249" s="60"/>
      <c r="Q249" s="77"/>
      <c r="S249" s="202" t="s">
        <v>400</v>
      </c>
      <c r="T249" s="203"/>
      <c r="U249" s="205"/>
      <c r="V249" s="203"/>
      <c r="W249" s="203"/>
      <c r="X249" s="203"/>
      <c r="Y249" s="203"/>
      <c r="Z249" s="203"/>
      <c r="AA249" s="204"/>
    </row>
    <row r="250" spans="10:31" hidden="1" x14ac:dyDescent="0.3">
      <c r="J250" s="59" t="s">
        <v>301</v>
      </c>
      <c r="P250" s="60"/>
      <c r="Q250" s="77"/>
      <c r="S250" s="206" t="s">
        <v>401</v>
      </c>
      <c r="T250" s="203"/>
      <c r="U250" s="203"/>
      <c r="V250" s="203"/>
      <c r="W250" s="207" t="s">
        <v>402</v>
      </c>
      <c r="X250" s="203">
        <v>7.4999999999999997E-2</v>
      </c>
      <c r="Y250" s="203"/>
      <c r="Z250" s="203"/>
      <c r="AA250" s="204"/>
    </row>
    <row r="251" spans="10:31" hidden="1" x14ac:dyDescent="0.3">
      <c r="J251" t="s">
        <v>284</v>
      </c>
      <c r="K251" s="20"/>
      <c r="S251" s="202"/>
      <c r="T251" s="203"/>
      <c r="U251" s="203"/>
      <c r="V251" s="203"/>
      <c r="W251" s="208"/>
      <c r="X251" s="203"/>
      <c r="Y251" s="203"/>
      <c r="Z251" s="203"/>
      <c r="AA251" s="204"/>
      <c r="AC251" s="174"/>
    </row>
    <row r="252" spans="10:31" hidden="1" x14ac:dyDescent="0.3">
      <c r="J252" s="71" t="s">
        <v>285</v>
      </c>
      <c r="K252" s="25"/>
      <c r="L252" s="20"/>
      <c r="M252" s="20"/>
      <c r="N252" s="20"/>
      <c r="O252" s="20"/>
      <c r="P252" s="20"/>
      <c r="Q252" s="20"/>
      <c r="R252" s="20"/>
      <c r="S252" s="202" t="s">
        <v>403</v>
      </c>
      <c r="T252" s="203"/>
      <c r="U252" s="203">
        <f>(W235*AA191/(X250*C6*C6*SQRT(C5/1000*N60/1000)*(1-0.1*SQRT(N57/C6))*(2.4+(K64/90)^2)))-0.5</f>
        <v>0.33270410703007369</v>
      </c>
      <c r="V252" s="203"/>
      <c r="W252" s="203"/>
      <c r="X252" s="203"/>
      <c r="Y252" s="208" t="s">
        <v>404</v>
      </c>
      <c r="Z252" s="209">
        <f>U252*U252*C6/0.02</f>
        <v>4.870449004725864</v>
      </c>
      <c r="AA252" s="204" t="s">
        <v>25</v>
      </c>
      <c r="AB252" s="188"/>
    </row>
    <row r="253" spans="10:31" hidden="1" x14ac:dyDescent="0.3">
      <c r="J253" s="145" t="s">
        <v>286</v>
      </c>
      <c r="K253" s="25"/>
      <c r="L253" s="109"/>
      <c r="M253" s="109"/>
      <c r="N253" s="27"/>
      <c r="O253" s="146"/>
      <c r="P253" s="45"/>
      <c r="Q253" s="21"/>
      <c r="R253" s="110"/>
      <c r="S253" s="210" t="s">
        <v>388</v>
      </c>
      <c r="T253" s="203"/>
      <c r="U253" s="203"/>
      <c r="V253" s="203"/>
      <c r="W253" s="207" t="s">
        <v>402</v>
      </c>
      <c r="X253" s="203">
        <v>0.15</v>
      </c>
      <c r="Y253" s="208"/>
      <c r="Z253" s="211"/>
      <c r="AA253" s="204"/>
      <c r="AB253" s="20"/>
    </row>
    <row r="254" spans="10:31" ht="15" hidden="1" thickBot="1" x14ac:dyDescent="0.35">
      <c r="J254" s="145" t="s">
        <v>287</v>
      </c>
      <c r="K254" s="25"/>
      <c r="L254" s="109"/>
      <c r="M254" s="109"/>
      <c r="N254" s="27"/>
      <c r="O254" s="146"/>
      <c r="P254" s="45"/>
      <c r="Q254" s="21"/>
      <c r="R254" s="110"/>
      <c r="S254" s="212" t="s">
        <v>403</v>
      </c>
      <c r="T254" s="213"/>
      <c r="U254" s="213">
        <f>(V235*AA191/(X253*C6*C6*SQRT(C5/1000*N60/1000)*(1-0.1*SQRT(N57/C6))*(2.4+(K64/90)^2)))-0.5</f>
        <v>0.64496814716635131</v>
      </c>
      <c r="V254" s="213"/>
      <c r="W254" s="213"/>
      <c r="X254" s="213"/>
      <c r="Y254" s="214" t="s">
        <v>404</v>
      </c>
      <c r="Z254" s="215">
        <f>U254*U254*C6/0.02</f>
        <v>18.303292077804635</v>
      </c>
      <c r="AA254" s="216" t="s">
        <v>25</v>
      </c>
      <c r="AE254" s="3"/>
    </row>
    <row r="255" spans="10:31" hidden="1" x14ac:dyDescent="0.3">
      <c r="J255" s="20"/>
      <c r="L255" s="109"/>
      <c r="M255" s="109"/>
      <c r="N255" s="27"/>
      <c r="O255" s="146"/>
      <c r="P255" s="45"/>
      <c r="Q255" s="21"/>
      <c r="R255" s="110"/>
      <c r="AC255" s="58"/>
    </row>
    <row r="256" spans="10:31" hidden="1" x14ac:dyDescent="0.3">
      <c r="J256" s="147" t="s">
        <v>289</v>
      </c>
      <c r="K256" s="7" t="s">
        <v>288</v>
      </c>
      <c r="L256" s="148" t="s">
        <v>290</v>
      </c>
      <c r="M256" s="109"/>
      <c r="N256" s="9" t="s">
        <v>15</v>
      </c>
      <c r="O256" s="148" t="s">
        <v>291</v>
      </c>
      <c r="P256" s="148" t="s">
        <v>292</v>
      </c>
      <c r="Q256" s="21"/>
      <c r="R256" s="110"/>
    </row>
    <row r="257" spans="10:31" hidden="1" x14ac:dyDescent="0.3">
      <c r="J257" s="9">
        <f>P92</f>
        <v>112.77080269568964</v>
      </c>
      <c r="K257" s="9">
        <f>M90</f>
        <v>29.344465492403916</v>
      </c>
      <c r="L257" s="9">
        <f>P93</f>
        <v>38.430007431855046</v>
      </c>
      <c r="M257" s="109"/>
      <c r="N257" s="9">
        <f>P230</f>
        <v>112.72316579806733</v>
      </c>
      <c r="O257" s="9">
        <f>N228</f>
        <v>52.226689202120106</v>
      </c>
      <c r="P257" s="9">
        <f>P234</f>
        <v>21.583440865229381</v>
      </c>
      <c r="Q257" s="21"/>
      <c r="R257" s="110"/>
      <c r="AB257" s="188"/>
    </row>
    <row r="258" spans="10:31" hidden="1" x14ac:dyDescent="0.3">
      <c r="J258" s="20" t="s">
        <v>293</v>
      </c>
      <c r="L258" s="20" t="s">
        <v>294</v>
      </c>
      <c r="M258" s="25"/>
      <c r="N258" s="27"/>
      <c r="O258" s="27"/>
      <c r="P258" s="146"/>
      <c r="R258" s="110"/>
      <c r="AB258" s="188"/>
      <c r="AD258" s="3"/>
    </row>
    <row r="259" spans="10:31" hidden="1" x14ac:dyDescent="0.3">
      <c r="K259" s="25"/>
      <c r="P259" s="45"/>
      <c r="Q259" s="21"/>
      <c r="R259" s="110"/>
      <c r="AC259" s="57"/>
    </row>
    <row r="260" spans="10:31" hidden="1" x14ac:dyDescent="0.3">
      <c r="J260" s="20" t="s">
        <v>295</v>
      </c>
      <c r="K260" s="128"/>
      <c r="L260" s="109"/>
      <c r="M260" s="109"/>
      <c r="N260" s="27"/>
      <c r="O260" s="146"/>
      <c r="P260" s="45"/>
      <c r="Q260" s="21"/>
      <c r="R260" s="110"/>
    </row>
    <row r="261" spans="10:31" hidden="1" x14ac:dyDescent="0.3">
      <c r="AB261" s="20"/>
    </row>
    <row r="262" spans="10:31" x14ac:dyDescent="0.3">
      <c r="AE262" s="3"/>
    </row>
    <row r="263" spans="10:31" x14ac:dyDescent="0.3">
      <c r="K263" s="20"/>
      <c r="L263" s="29" t="s">
        <v>29</v>
      </c>
      <c r="M263" s="7" t="s">
        <v>247</v>
      </c>
      <c r="N263" s="7" t="s">
        <v>309</v>
      </c>
      <c r="O263" s="7" t="s">
        <v>15</v>
      </c>
      <c r="P263" s="7" t="s">
        <v>310</v>
      </c>
      <c r="Q263" s="32" t="s">
        <v>30</v>
      </c>
      <c r="R263" s="32" t="s">
        <v>31</v>
      </c>
      <c r="AC263" s="58"/>
    </row>
    <row r="264" spans="10:31" x14ac:dyDescent="0.3">
      <c r="K264" s="20"/>
      <c r="L264" s="119">
        <v>0.75</v>
      </c>
      <c r="M264" s="9">
        <v>89.84</v>
      </c>
      <c r="N264" s="6">
        <v>31.82</v>
      </c>
      <c r="O264" s="9">
        <v>90.23</v>
      </c>
      <c r="P264" s="50">
        <v>53.54</v>
      </c>
      <c r="Q264" s="44">
        <v>8.2100000000000009</v>
      </c>
      <c r="R264" s="50">
        <v>4.84</v>
      </c>
      <c r="AB264" s="188"/>
    </row>
    <row r="265" spans="10:31" x14ac:dyDescent="0.3">
      <c r="K265" s="20"/>
      <c r="L265" s="119">
        <v>0.88</v>
      </c>
      <c r="M265" s="9">
        <v>105</v>
      </c>
      <c r="N265" s="6">
        <v>31.75</v>
      </c>
      <c r="O265" s="9">
        <v>110.44</v>
      </c>
      <c r="P265" s="50">
        <v>52.61</v>
      </c>
      <c r="Q265" s="44">
        <v>10.29</v>
      </c>
      <c r="R265" s="50">
        <v>6.04</v>
      </c>
      <c r="AB265" s="188"/>
      <c r="AD265" s="3"/>
    </row>
    <row r="266" spans="10:31" x14ac:dyDescent="0.3">
      <c r="K266" s="20"/>
      <c r="L266" s="119">
        <v>1</v>
      </c>
      <c r="M266" s="9">
        <v>118.89</v>
      </c>
      <c r="N266" s="6">
        <v>31.7</v>
      </c>
      <c r="O266" s="9">
        <v>130.08000000000001</v>
      </c>
      <c r="P266" s="7">
        <v>51.78</v>
      </c>
      <c r="Q266" s="44">
        <v>12.28</v>
      </c>
      <c r="R266" s="7">
        <v>7.25</v>
      </c>
      <c r="AC266" s="8"/>
    </row>
    <row r="267" spans="10:31" x14ac:dyDescent="0.3">
      <c r="K267" s="20"/>
      <c r="L267" s="119">
        <v>1.2</v>
      </c>
      <c r="M267" s="9">
        <v>141.82</v>
      </c>
      <c r="N267" s="6">
        <v>31.6</v>
      </c>
      <c r="O267" s="9">
        <v>164.72</v>
      </c>
      <c r="P267" s="9">
        <v>50.45</v>
      </c>
      <c r="Q267" s="44">
        <v>14.69</v>
      </c>
      <c r="R267" s="9">
        <v>9.44</v>
      </c>
    </row>
    <row r="268" spans="10:31" x14ac:dyDescent="0.3">
      <c r="K268" s="20"/>
      <c r="L268" s="119">
        <v>1.5</v>
      </c>
      <c r="M268" s="9">
        <v>175.68</v>
      </c>
      <c r="N268" s="6">
        <v>31.46</v>
      </c>
      <c r="O268" s="9">
        <v>188.69</v>
      </c>
      <c r="P268" s="9">
        <v>51.79</v>
      </c>
      <c r="Q268" s="44">
        <v>18.28</v>
      </c>
      <c r="R268" s="9">
        <v>10.199999999999999</v>
      </c>
    </row>
  </sheetData>
  <sheetProtection algorithmName="SHA-512" hashValue="A+gKu4Kn0c8eTkU/WHVrP2ZiMCZWkGvN4cEoox01zroExMEMN5FyGf3qQVLksF9aCopv773moov/NNTP4CxNvA==" saltValue="+VgOubntwKlF9FNZmB6Wmg==" spinCount="100000" sheet="1" objects="1" scenarios="1" selectLockedCells="1"/>
  <dataValidations count="5">
    <dataValidation type="list" allowBlank="1" showInputMessage="1" showErrorMessage="1" sqref="C11" xr:uid="{00000000-0002-0000-0000-000000000000}">
      <formula1>$R$12:$R$16</formula1>
    </dataValidation>
    <dataValidation type="list" allowBlank="1" showInputMessage="1" showErrorMessage="1" sqref="C12 K2" xr:uid="{00000000-0002-0000-0000-000001000000}">
      <formula1>$K$4:$K$5</formula1>
    </dataValidation>
    <dataValidation type="list" allowBlank="1" showInputMessage="1" showErrorMessage="1" sqref="C9" xr:uid="{00000000-0002-0000-0000-000002000000}">
      <formula1>$J$25:$J$29</formula1>
    </dataValidation>
    <dataValidation type="list" allowBlank="1" showInputMessage="1" showErrorMessage="1" sqref="C5" xr:uid="{00000000-0002-0000-0000-000003000000}">
      <formula1>$J$8:$J$9</formula1>
    </dataValidation>
    <dataValidation type="list" allowBlank="1" showInputMessage="1" showErrorMessage="1" sqref="C6" xr:uid="{00000000-0002-0000-0000-000004000000}">
      <formula1>$P$21:$P$27</formula1>
    </dataValidation>
  </dataValidations>
  <pageMargins left="0.7" right="0.7" top="0.75" bottom="0.75" header="0.3" footer="0.3"/>
  <pageSetup paperSize="9" scale="85" orientation="portrait" r:id="rId1"/>
  <rowBreaks count="1" manualBreakCount="1">
    <brk id="50" max="37" man="1"/>
  </rowBreaks>
  <colBreaks count="3" manualBreakCount="3">
    <brk id="9" max="260" man="1"/>
    <brk id="18" max="260" man="1"/>
    <brk id="27" max="260" man="1"/>
  </colBreaks>
  <drawing r:id="rId2"/>
  <legacyDrawing r:id="rId3"/>
  <oleObjects>
    <mc:AlternateContent xmlns:mc="http://schemas.openxmlformats.org/markup-compatibility/2006">
      <mc:Choice Requires="x14">
        <oleObject progId="AutoCAD.Drawing.23" shapeId="1032" r:id="rId4">
          <objectPr defaultSize="0" autoPict="0" r:id="rId5">
            <anchor moveWithCells="1" sizeWithCells="1">
              <from>
                <xdr:col>20</xdr:col>
                <xdr:colOff>144780</xdr:colOff>
                <xdr:row>8</xdr:row>
                <xdr:rowOff>114300</xdr:rowOff>
              </from>
              <to>
                <xdr:col>22</xdr:col>
                <xdr:colOff>297180</xdr:colOff>
                <xdr:row>10</xdr:row>
                <xdr:rowOff>99060</xdr:rowOff>
              </to>
            </anchor>
          </objectPr>
        </oleObject>
      </mc:Choice>
      <mc:Fallback>
        <oleObject progId="AutoCAD.Drawing.23" shapeId="1032" r:id="rId4"/>
      </mc:Fallback>
    </mc:AlternateContent>
    <mc:AlternateContent xmlns:mc="http://schemas.openxmlformats.org/markup-compatibility/2006">
      <mc:Choice Requires="x14">
        <oleObject progId="FoxitPhantomPDF.Document" shapeId="1059" r:id="rId6">
          <objectPr defaultSize="0" autoPict="0" r:id="rId7">
            <anchor moveWithCells="1" sizeWithCells="1">
              <from>
                <xdr:col>27</xdr:col>
                <xdr:colOff>182880</xdr:colOff>
                <xdr:row>78</xdr:row>
                <xdr:rowOff>106680</xdr:rowOff>
              </from>
              <to>
                <xdr:col>34</xdr:col>
                <xdr:colOff>60960</xdr:colOff>
                <xdr:row>104</xdr:row>
                <xdr:rowOff>137160</xdr:rowOff>
              </to>
            </anchor>
          </objectPr>
        </oleObject>
      </mc:Choice>
      <mc:Fallback>
        <oleObject progId="FoxitPhantomPDF.Document" shapeId="1059" r:id="rId6"/>
      </mc:Fallback>
    </mc:AlternateContent>
    <mc:AlternateContent xmlns:mc="http://schemas.openxmlformats.org/markup-compatibility/2006">
      <mc:Choice Requires="x14">
        <oleObject progId="AutoCAD.Drawing.23" shapeId="1077" r:id="rId8">
          <objectPr defaultSize="0" autoPict="0" r:id="rId9">
            <anchor moveWithCells="1">
              <from>
                <xdr:col>1</xdr:col>
                <xdr:colOff>2095500</xdr:colOff>
                <xdr:row>12</xdr:row>
                <xdr:rowOff>91440</xdr:rowOff>
              </from>
              <to>
                <xdr:col>1</xdr:col>
                <xdr:colOff>3939540</xdr:colOff>
                <xdr:row>14</xdr:row>
                <xdr:rowOff>137160</xdr:rowOff>
              </to>
            </anchor>
          </objectPr>
        </oleObject>
      </mc:Choice>
      <mc:Fallback>
        <oleObject progId="AutoCAD.Drawing.23" shapeId="1077" r:id="rId8"/>
      </mc:Fallback>
    </mc:AlternateContent>
    <mc:AlternateContent xmlns:mc="http://schemas.openxmlformats.org/markup-compatibility/2006">
      <mc:Choice Requires="x14">
        <oleObject progId="AutoCAD.Drawing.23" shapeId="1078" r:id="rId10">
          <objectPr defaultSize="0" autoPict="0" r:id="rId11">
            <anchor moveWithCells="1">
              <from>
                <xdr:col>1</xdr:col>
                <xdr:colOff>4183380</xdr:colOff>
                <xdr:row>12</xdr:row>
                <xdr:rowOff>15240</xdr:rowOff>
              </from>
              <to>
                <xdr:col>4</xdr:col>
                <xdr:colOff>228600</xdr:colOff>
                <xdr:row>15</xdr:row>
                <xdr:rowOff>15240</xdr:rowOff>
              </to>
            </anchor>
          </objectPr>
        </oleObject>
      </mc:Choice>
      <mc:Fallback>
        <oleObject progId="AutoCAD.Drawing.23" shapeId="1078" r:id="rId1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</vt:i4>
      </vt:variant>
      <vt:variant>
        <vt:lpstr>Imenovani opsezi</vt:lpstr>
      </vt:variant>
      <vt:variant>
        <vt:i4>1</vt:i4>
      </vt:variant>
    </vt:vector>
  </HeadingPairs>
  <TitlesOfParts>
    <vt:vector size="2" baseType="lpstr">
      <vt:lpstr>TR85</vt:lpstr>
      <vt:lpstr>'TR85'!Oblast_štampanja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IgrutinW7</dc:creator>
  <cp:lastModifiedBy>Marko</cp:lastModifiedBy>
  <dcterms:created xsi:type="dcterms:W3CDTF">2020-03-27T22:40:37Z</dcterms:created>
  <dcterms:modified xsi:type="dcterms:W3CDTF">2020-07-13T17:52:39Z</dcterms:modified>
</cp:coreProperties>
</file>