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urs Marketinga\9 - SEO\MARKO\prodanovic\01072020 - KRAJ\tr\"/>
    </mc:Choice>
  </mc:AlternateContent>
  <xr:revisionPtr revIDLastSave="0" documentId="13_ncr:1_{D6F3A9CC-A123-4A4D-B703-648BFB5AD9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35" sheetId="1" r:id="rId1"/>
  </sheets>
  <definedNames>
    <definedName name="_xlnm.Print_Area" localSheetId="0">'TR35'!$A$1:$AW$239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1" i="1" l="1"/>
  <c r="G130" i="1"/>
  <c r="J35" i="1" l="1"/>
  <c r="C108" i="1" l="1"/>
  <c r="B108" i="1"/>
  <c r="C107" i="1"/>
  <c r="B107" i="1"/>
  <c r="C106" i="1"/>
  <c r="B106" i="1"/>
  <c r="C105" i="1"/>
  <c r="B105" i="1"/>
  <c r="B104" i="1"/>
  <c r="A112" i="1" l="1"/>
  <c r="E87" i="1"/>
  <c r="A85" i="1"/>
  <c r="D92" i="1" s="1"/>
  <c r="D69" i="1"/>
  <c r="D63" i="1"/>
  <c r="C63" i="1"/>
  <c r="D62" i="1"/>
  <c r="C62" i="1"/>
  <c r="D61" i="1"/>
  <c r="C61" i="1"/>
  <c r="D60" i="1"/>
  <c r="C60" i="1"/>
  <c r="C59" i="1"/>
  <c r="D93" i="1" l="1"/>
  <c r="M109" i="1" l="1"/>
  <c r="AL215" i="1"/>
  <c r="AK215" i="1"/>
  <c r="Q215" i="1"/>
  <c r="AK212" i="1"/>
  <c r="AM212" i="1" s="1"/>
  <c r="AF212" i="1" s="1"/>
  <c r="AJ198" i="1"/>
  <c r="AJ197" i="1"/>
  <c r="AF200" i="1"/>
  <c r="AE202" i="1" s="1"/>
  <c r="AI202" i="1" s="1"/>
  <c r="AP178" i="1"/>
  <c r="O56" i="1"/>
  <c r="O59" i="1"/>
  <c r="L212" i="1" s="1"/>
  <c r="L213" i="1" s="1"/>
  <c r="J31" i="1"/>
  <c r="O6" i="1"/>
  <c r="J4" i="1"/>
  <c r="AL212" i="1" l="1"/>
  <c r="AJ180" i="1"/>
  <c r="AF210" i="1"/>
  <c r="AF214" i="1" s="1"/>
  <c r="M216" i="1"/>
  <c r="N216" i="1" s="1"/>
  <c r="AF215" i="1"/>
  <c r="AL209" i="1"/>
  <c r="AE205" i="1"/>
  <c r="AI205" i="1" s="1"/>
  <c r="AP182" i="1"/>
  <c r="Q187" i="1"/>
  <c r="O189" i="1" s="1"/>
  <c r="O195" i="1" s="1"/>
  <c r="N166" i="1"/>
  <c r="N167" i="1" s="1"/>
  <c r="M180" i="1"/>
  <c r="O180" i="1" s="1"/>
  <c r="P180" i="1" s="1"/>
  <c r="M179" i="1"/>
  <c r="O179" i="1" s="1"/>
  <c r="P179" i="1" s="1"/>
  <c r="M178" i="1"/>
  <c r="O178" i="1" s="1"/>
  <c r="P178" i="1" s="1"/>
  <c r="M177" i="1"/>
  <c r="O177" i="1" s="1"/>
  <c r="P177" i="1" s="1"/>
  <c r="M176" i="1"/>
  <c r="O176" i="1" s="1"/>
  <c r="P176" i="1" s="1"/>
  <c r="M175" i="1"/>
  <c r="O175" i="1" s="1"/>
  <c r="P175" i="1" s="1"/>
  <c r="Q145" i="1"/>
  <c r="M145" i="1" s="1"/>
  <c r="AF211" i="1" l="1"/>
  <c r="Q218" i="1"/>
  <c r="L217" i="1" s="1"/>
  <c r="R175" i="1"/>
  <c r="R176" i="1"/>
  <c r="R177" i="1"/>
  <c r="R178" i="1"/>
  <c r="R179" i="1"/>
  <c r="R180" i="1"/>
  <c r="O167" i="1"/>
  <c r="Q167" i="1"/>
  <c r="O190" i="1"/>
  <c r="M146" i="1"/>
  <c r="M147" i="1"/>
  <c r="M148" i="1" l="1"/>
  <c r="Q168" i="1"/>
  <c r="L174" i="1" s="1"/>
  <c r="M174" i="1" s="1"/>
  <c r="O174" i="1" s="1"/>
  <c r="P163" i="1"/>
  <c r="N168" i="1"/>
  <c r="N170" i="1" s="1"/>
  <c r="M181" i="1" l="1"/>
  <c r="O202" i="1" s="1"/>
  <c r="O181" i="1"/>
  <c r="P174" i="1"/>
  <c r="P181" i="1" s="1"/>
  <c r="R174" i="1"/>
  <c r="R181" i="1" s="1"/>
  <c r="N169" i="1"/>
  <c r="M183" i="1" l="1"/>
  <c r="O201" i="1" l="1"/>
  <c r="O203" i="1" l="1"/>
  <c r="Q203" i="1" s="1"/>
  <c r="O227" i="1"/>
  <c r="Q204" i="1" l="1"/>
  <c r="N227" i="1"/>
  <c r="O204" i="1"/>
  <c r="N208" i="1" l="1"/>
  <c r="H119" i="1" s="1"/>
  <c r="P227" i="1"/>
  <c r="H117" i="1" l="1"/>
  <c r="H121" i="1"/>
  <c r="H118" i="1"/>
  <c r="H122" i="1"/>
  <c r="D120" i="1"/>
  <c r="H116" i="1"/>
  <c r="H120" i="1"/>
  <c r="D119" i="1"/>
  <c r="D122" i="1"/>
  <c r="D117" i="1"/>
  <c r="D118" i="1"/>
  <c r="Q44" i="1"/>
  <c r="D121" i="1"/>
  <c r="D116" i="1"/>
  <c r="Q39" i="1"/>
  <c r="M45" i="1"/>
  <c r="M44" i="1"/>
  <c r="Q43" i="1"/>
  <c r="Q45" i="1"/>
  <c r="Q41" i="1"/>
  <c r="Q42" i="1"/>
  <c r="M39" i="1"/>
  <c r="Q40" i="1"/>
  <c r="M42" i="1"/>
  <c r="M43" i="1"/>
  <c r="M40" i="1"/>
  <c r="M41" i="1"/>
  <c r="H123" i="1" l="1"/>
  <c r="C90" i="1" s="1"/>
  <c r="D123" i="1"/>
  <c r="C89" i="1" s="1"/>
  <c r="M46" i="1"/>
  <c r="L8" i="1" s="1"/>
  <c r="Q46" i="1"/>
  <c r="L9" i="1" s="1"/>
  <c r="L142" i="1"/>
  <c r="M128" i="1"/>
  <c r="O128" i="1" s="1"/>
  <c r="P128" i="1" s="1"/>
  <c r="M126" i="1"/>
  <c r="O126" i="1" s="1"/>
  <c r="P126" i="1" s="1"/>
  <c r="M125" i="1"/>
  <c r="O125" i="1" s="1"/>
  <c r="P125" i="1" s="1"/>
  <c r="M124" i="1"/>
  <c r="O124" i="1" s="1"/>
  <c r="P124" i="1" s="1"/>
  <c r="M123" i="1"/>
  <c r="N103" i="1"/>
  <c r="M90" i="1"/>
  <c r="R90" i="1" s="1"/>
  <c r="M89" i="1"/>
  <c r="O89" i="1" s="1"/>
  <c r="P89" i="1" s="1"/>
  <c r="M88" i="1"/>
  <c r="M87" i="1"/>
  <c r="M86" i="1"/>
  <c r="O86" i="1" s="1"/>
  <c r="P86" i="1" s="1"/>
  <c r="M85" i="1"/>
  <c r="M84" i="1"/>
  <c r="P73" i="1"/>
  <c r="N73" i="1"/>
  <c r="R65" i="1"/>
  <c r="L65" i="1"/>
  <c r="L63" i="1"/>
  <c r="R64" i="1" s="1"/>
  <c r="R62" i="1"/>
  <c r="L62" i="1"/>
  <c r="M15" i="1" l="1"/>
  <c r="N105" i="1"/>
  <c r="Q105" i="1" s="1"/>
  <c r="N110" i="1"/>
  <c r="O196" i="1"/>
  <c r="AH172" i="1"/>
  <c r="M91" i="1"/>
  <c r="H84" i="1" s="1"/>
  <c r="R89" i="1"/>
  <c r="O62" i="1"/>
  <c r="O64" i="1" s="1"/>
  <c r="O90" i="1"/>
  <c r="P90" i="1" s="1"/>
  <c r="L64" i="1"/>
  <c r="D131" i="1" s="1"/>
  <c r="Q70" i="1"/>
  <c r="Q132" i="1"/>
  <c r="R123" i="1"/>
  <c r="R124" i="1"/>
  <c r="R125" i="1"/>
  <c r="R126" i="1"/>
  <c r="R128" i="1"/>
  <c r="O123" i="1"/>
  <c r="R86" i="1"/>
  <c r="R85" i="1"/>
  <c r="O85" i="1"/>
  <c r="P85" i="1" s="1"/>
  <c r="R88" i="1"/>
  <c r="O88" i="1"/>
  <c r="P88" i="1" s="1"/>
  <c r="O84" i="1"/>
  <c r="R84" i="1"/>
  <c r="O87" i="1"/>
  <c r="P87" i="1" s="1"/>
  <c r="R87" i="1"/>
  <c r="R66" i="1"/>
  <c r="R63" i="1"/>
  <c r="O66" i="1"/>
  <c r="L66" i="1"/>
  <c r="N70" i="1"/>
  <c r="N69" i="1" l="1"/>
  <c r="D130" i="1"/>
  <c r="O105" i="1"/>
  <c r="Q110" i="1"/>
  <c r="O110" i="1"/>
  <c r="O191" i="1"/>
  <c r="O192" i="1" s="1"/>
  <c r="M186" i="1"/>
  <c r="K187" i="1" s="1"/>
  <c r="O194" i="1"/>
  <c r="O197" i="1" s="1"/>
  <c r="N94" i="1"/>
  <c r="Q21" i="1"/>
  <c r="N106" i="1"/>
  <c r="N107" i="1" s="1"/>
  <c r="O63" i="1"/>
  <c r="O79" i="1" s="1"/>
  <c r="P148" i="1"/>
  <c r="O149" i="1" s="1"/>
  <c r="O91" i="1"/>
  <c r="N93" i="1" s="1"/>
  <c r="P123" i="1"/>
  <c r="P84" i="1"/>
  <c r="P91" i="1" s="1"/>
  <c r="R91" i="1"/>
  <c r="I88" i="1" l="1"/>
  <c r="I84" i="1"/>
  <c r="E83" i="1" s="1"/>
  <c r="I85" i="1"/>
  <c r="I90" i="1"/>
  <c r="I86" i="1"/>
  <c r="I87" i="1"/>
  <c r="I89" i="1"/>
  <c r="R22" i="1"/>
  <c r="R26" i="1"/>
  <c r="R25" i="1"/>
  <c r="R24" i="1"/>
  <c r="R21" i="1"/>
  <c r="R23" i="1"/>
  <c r="R27" i="1"/>
  <c r="N111" i="1"/>
  <c r="N112" i="1" s="1"/>
  <c r="N116" i="1"/>
  <c r="N117" i="1" s="1"/>
  <c r="N118" i="1" s="1"/>
  <c r="Q118" i="1" s="1"/>
  <c r="K227" i="1"/>
  <c r="Q106" i="1"/>
  <c r="L127" i="1" s="1"/>
  <c r="M127" i="1" s="1"/>
  <c r="Q77" i="1"/>
  <c r="N71" i="1"/>
  <c r="N77" i="1"/>
  <c r="P74" i="1"/>
  <c r="N95" i="1"/>
  <c r="Q95" i="1" s="1"/>
  <c r="E84" i="1" l="1"/>
  <c r="AI219" i="1" s="1"/>
  <c r="O2" i="1"/>
  <c r="G135" i="1"/>
  <c r="G137" i="1"/>
  <c r="G136" i="1"/>
  <c r="G138" i="1"/>
  <c r="G140" i="1" s="1"/>
  <c r="C24" i="1" s="1"/>
  <c r="G139" i="1"/>
  <c r="K35" i="1"/>
  <c r="B112" i="1"/>
  <c r="E85" i="1"/>
  <c r="E86" i="1"/>
  <c r="G96" i="1"/>
  <c r="Q111" i="1"/>
  <c r="L129" i="1" s="1"/>
  <c r="M129" i="1" s="1"/>
  <c r="M130" i="1" s="1"/>
  <c r="N133" i="1" s="1"/>
  <c r="M161" i="1" s="1"/>
  <c r="O3" i="1"/>
  <c r="O118" i="1"/>
  <c r="Q96" i="1"/>
  <c r="L227" i="1" s="1"/>
  <c r="J227" i="1"/>
  <c r="R127" i="1"/>
  <c r="R130" i="1" s="1"/>
  <c r="Q78" i="1"/>
  <c r="O127" i="1"/>
  <c r="N119" i="1"/>
  <c r="C112" i="1" l="1"/>
  <c r="E105" i="1"/>
  <c r="D108" i="1"/>
  <c r="E108" i="1"/>
  <c r="D107" i="1"/>
  <c r="D106" i="1"/>
  <c r="E107" i="1"/>
  <c r="D104" i="1"/>
  <c r="E106" i="1"/>
  <c r="D105" i="1"/>
  <c r="O129" i="1"/>
  <c r="P129" i="1" s="1"/>
  <c r="R129" i="1"/>
  <c r="O5" i="1"/>
  <c r="O4" i="1"/>
  <c r="P127" i="1"/>
  <c r="E99" i="1" l="1"/>
  <c r="D99" i="1"/>
  <c r="P130" i="1"/>
  <c r="O130" i="1"/>
  <c r="N132" i="1" s="1"/>
  <c r="M29" i="1"/>
  <c r="L25" i="1"/>
  <c r="L26" i="1"/>
  <c r="M27" i="1"/>
  <c r="N26" i="1"/>
  <c r="K27" i="1"/>
  <c r="L29" i="1"/>
  <c r="K28" i="1"/>
  <c r="N29" i="1"/>
  <c r="M25" i="1"/>
  <c r="M26" i="1"/>
  <c r="K25" i="1"/>
  <c r="K26" i="1"/>
  <c r="L27" i="1"/>
  <c r="M28" i="1"/>
  <c r="N28" i="1"/>
  <c r="L28" i="1"/>
  <c r="K29" i="1"/>
  <c r="N27" i="1"/>
  <c r="P35" i="1"/>
  <c r="N35" i="1"/>
  <c r="M35" i="1"/>
  <c r="O35" i="1"/>
  <c r="L35" i="1"/>
  <c r="K20" i="1" l="1"/>
  <c r="M20" i="1"/>
  <c r="L20" i="1"/>
  <c r="N20" i="1"/>
  <c r="N134" i="1"/>
  <c r="Q134" i="1" s="1"/>
  <c r="Q135" i="1" s="1"/>
  <c r="N139" i="1" s="1"/>
  <c r="G119" i="1" s="1"/>
  <c r="L40" i="1"/>
  <c r="P42" i="1"/>
  <c r="P40" i="1"/>
  <c r="M160" i="1"/>
  <c r="P149" i="1"/>
  <c r="Z200" i="1"/>
  <c r="X202" i="1" s="1"/>
  <c r="Z194" i="1"/>
  <c r="Z193" i="1"/>
  <c r="Z192" i="1"/>
  <c r="W182" i="1"/>
  <c r="W183" i="1" s="1"/>
  <c r="Z152" i="1"/>
  <c r="AD90" i="1"/>
  <c r="Z126" i="1"/>
  <c r="U138" i="1"/>
  <c r="Z141" i="1"/>
  <c r="V141" i="1" s="1"/>
  <c r="V143" i="1" s="1"/>
  <c r="AA79" i="1"/>
  <c r="Y73" i="1"/>
  <c r="W73" i="1"/>
  <c r="Z130" i="1"/>
  <c r="W130" i="1"/>
  <c r="U83" i="1"/>
  <c r="U126" i="1" s="1"/>
  <c r="V126" i="1" s="1"/>
  <c r="W99" i="1"/>
  <c r="W108" i="1" s="1"/>
  <c r="L42" i="1" l="1"/>
  <c r="G117" i="1"/>
  <c r="G121" i="1"/>
  <c r="G118" i="1"/>
  <c r="G122" i="1"/>
  <c r="P45" i="1"/>
  <c r="P43" i="1"/>
  <c r="P41" i="1"/>
  <c r="L43" i="1"/>
  <c r="C120" i="1"/>
  <c r="G116" i="1"/>
  <c r="G120" i="1"/>
  <c r="C119" i="1"/>
  <c r="C122" i="1"/>
  <c r="C117" i="1"/>
  <c r="C118" i="1"/>
  <c r="P39" i="1"/>
  <c r="C121" i="1"/>
  <c r="L44" i="1"/>
  <c r="P44" i="1"/>
  <c r="L39" i="1"/>
  <c r="C116" i="1"/>
  <c r="L45" i="1"/>
  <c r="L41" i="1"/>
  <c r="M151" i="1"/>
  <c r="Q151" i="1" s="1"/>
  <c r="L151" i="1"/>
  <c r="L152" i="1"/>
  <c r="K150" i="1"/>
  <c r="M152" i="1"/>
  <c r="Q152" i="1" s="1"/>
  <c r="Z183" i="1"/>
  <c r="W184" i="1" s="1"/>
  <c r="X183" i="1"/>
  <c r="X206" i="1"/>
  <c r="X203" i="1"/>
  <c r="Z108" i="1"/>
  <c r="W109" i="1" s="1"/>
  <c r="W110" i="1" s="1"/>
  <c r="X108" i="1"/>
  <c r="U152" i="1"/>
  <c r="V152" i="1" s="1"/>
  <c r="V142" i="1"/>
  <c r="V144" i="1" s="1"/>
  <c r="AA126" i="1"/>
  <c r="U63" i="1"/>
  <c r="Z70" i="1" s="1"/>
  <c r="AA62" i="1"/>
  <c r="W86" i="1" s="1"/>
  <c r="W129" i="1" s="1"/>
  <c r="X65" i="1"/>
  <c r="Z85" i="1"/>
  <c r="V83" i="1"/>
  <c r="AF213" i="1" s="1"/>
  <c r="U65" i="1"/>
  <c r="AA65" i="1"/>
  <c r="U85" i="1" s="1"/>
  <c r="U62" i="1"/>
  <c r="E72" i="1" l="1"/>
  <c r="F72" i="1" s="1"/>
  <c r="F74" i="1" s="1"/>
  <c r="F75" i="1" s="1"/>
  <c r="C19" i="1" s="1"/>
  <c r="E70" i="1"/>
  <c r="F70" i="1" s="1"/>
  <c r="E69" i="1"/>
  <c r="F69" i="1" s="1"/>
  <c r="E71" i="1"/>
  <c r="F71" i="1" s="1"/>
  <c r="E73" i="1"/>
  <c r="F73" i="1" s="1"/>
  <c r="F112" i="1"/>
  <c r="E112" i="1"/>
  <c r="D112" i="1"/>
  <c r="G112" i="1"/>
  <c r="G123" i="1"/>
  <c r="B90" i="1" s="1"/>
  <c r="P46" i="1"/>
  <c r="K9" i="1" s="1"/>
  <c r="C123" i="1"/>
  <c r="B89" i="1" s="1"/>
  <c r="L46" i="1"/>
  <c r="K8" i="1" s="1"/>
  <c r="U154" i="1"/>
  <c r="V154" i="1" s="1"/>
  <c r="R79" i="1"/>
  <c r="W185" i="1"/>
  <c r="U190" i="1" s="1"/>
  <c r="V190" i="1" s="1"/>
  <c r="W186" i="1"/>
  <c r="Z133" i="1"/>
  <c r="W194" i="1"/>
  <c r="W193" i="1"/>
  <c r="AA152" i="1"/>
  <c r="AA66" i="1"/>
  <c r="Z128" i="1"/>
  <c r="Z154" i="1"/>
  <c r="V85" i="1"/>
  <c r="AA85" i="1" s="1"/>
  <c r="U128" i="1"/>
  <c r="AA64" i="1"/>
  <c r="AR176" i="1" s="1"/>
  <c r="AP177" i="1" s="1"/>
  <c r="AP180" i="1" s="1"/>
  <c r="AP181" i="1" s="1"/>
  <c r="AP183" i="1" s="1"/>
  <c r="AP185" i="1" s="1"/>
  <c r="AN189" i="1" s="1"/>
  <c r="AQ191" i="1" s="1"/>
  <c r="AO196" i="1" s="1"/>
  <c r="U66" i="1"/>
  <c r="AA67" i="1" s="1"/>
  <c r="W70" i="1"/>
  <c r="W103" i="1"/>
  <c r="Z86" i="1"/>
  <c r="Z129" i="1" s="1"/>
  <c r="W85" i="1"/>
  <c r="U86" i="1"/>
  <c r="U64" i="1"/>
  <c r="W69" i="1" s="1"/>
  <c r="AA63" i="1"/>
  <c r="Y144" i="1" s="1"/>
  <c r="W84" i="1"/>
  <c r="W83" i="1"/>
  <c r="X83" i="1" s="1"/>
  <c r="AA83" i="1"/>
  <c r="X66" i="1"/>
  <c r="AH175" i="1" s="1"/>
  <c r="U84" i="1"/>
  <c r="U153" i="1" s="1"/>
  <c r="V153" i="1" s="1"/>
  <c r="X62" i="1"/>
  <c r="AS198" i="1" l="1"/>
  <c r="AS196" i="1"/>
  <c r="AS195" i="1"/>
  <c r="AS197" i="1"/>
  <c r="AS199" i="1"/>
  <c r="G93" i="1"/>
  <c r="M12" i="1"/>
  <c r="AJ181" i="1"/>
  <c r="AE184" i="1" s="1"/>
  <c r="AH185" i="1" s="1"/>
  <c r="AE189" i="1" s="1"/>
  <c r="AH191" i="1" s="1"/>
  <c r="AJ182" i="1"/>
  <c r="AA154" i="1"/>
  <c r="Z84" i="1"/>
  <c r="Z153" i="1" s="1"/>
  <c r="AA153" i="1" s="1"/>
  <c r="Z191" i="1"/>
  <c r="W192" i="1"/>
  <c r="V199" i="1"/>
  <c r="W191" i="1"/>
  <c r="V128" i="1"/>
  <c r="AA128" i="1" s="1"/>
  <c r="U192" i="1"/>
  <c r="V192" i="1" s="1"/>
  <c r="AA190" i="1"/>
  <c r="X190" i="1"/>
  <c r="U129" i="1"/>
  <c r="V129" i="1" s="1"/>
  <c r="X129" i="1" s="1"/>
  <c r="Y129" i="1" s="1"/>
  <c r="U193" i="1"/>
  <c r="V193" i="1" s="1"/>
  <c r="X85" i="1"/>
  <c r="Y85" i="1" s="1"/>
  <c r="W126" i="1"/>
  <c r="X126" i="1" s="1"/>
  <c r="Y126" i="1" s="1"/>
  <c r="W152" i="1"/>
  <c r="X152" i="1" s="1"/>
  <c r="W127" i="1"/>
  <c r="W153" i="1"/>
  <c r="X153" i="1" s="1"/>
  <c r="Y153" i="1" s="1"/>
  <c r="W128" i="1"/>
  <c r="W154" i="1"/>
  <c r="X154" i="1" s="1"/>
  <c r="Y154" i="1" s="1"/>
  <c r="V86" i="1"/>
  <c r="AA86" i="1" s="1"/>
  <c r="V84" i="1"/>
  <c r="U127" i="1"/>
  <c r="X64" i="1"/>
  <c r="X63" i="1"/>
  <c r="W100" i="1" s="1"/>
  <c r="Y83" i="1"/>
  <c r="AS200" i="1" l="1"/>
  <c r="C21" i="1" s="1"/>
  <c r="X128" i="1"/>
  <c r="Y128" i="1" s="1"/>
  <c r="F135" i="1"/>
  <c r="F137" i="1"/>
  <c r="F139" i="1"/>
  <c r="F136" i="1"/>
  <c r="F138" i="1"/>
  <c r="F140" i="1" s="1"/>
  <c r="C25" i="1" s="1"/>
  <c r="E93" i="1"/>
  <c r="F62" i="1" s="1"/>
  <c r="H62" i="1" s="1"/>
  <c r="E92" i="1"/>
  <c r="X84" i="1"/>
  <c r="Y84" i="1" s="1"/>
  <c r="AL208" i="1"/>
  <c r="Z127" i="1"/>
  <c r="X86" i="1"/>
  <c r="Y86" i="1" s="1"/>
  <c r="X193" i="1"/>
  <c r="Y193" i="1" s="1"/>
  <c r="AA193" i="1"/>
  <c r="Y190" i="1"/>
  <c r="AA129" i="1"/>
  <c r="V127" i="1"/>
  <c r="X127" i="1" s="1"/>
  <c r="Y127" i="1" s="1"/>
  <c r="U191" i="1"/>
  <c r="V191" i="1" s="1"/>
  <c r="Y152" i="1"/>
  <c r="AA192" i="1"/>
  <c r="X192" i="1"/>
  <c r="Y192" i="1" s="1"/>
  <c r="AA191" i="1"/>
  <c r="Z77" i="1"/>
  <c r="AA84" i="1"/>
  <c r="Y74" i="1"/>
  <c r="W77" i="1"/>
  <c r="X79" i="1"/>
  <c r="W71" i="1"/>
  <c r="Z100" i="1"/>
  <c r="W101" i="1" s="1"/>
  <c r="U87" i="1"/>
  <c r="U194" i="1" s="1"/>
  <c r="V194" i="1" s="1"/>
  <c r="W104" i="1"/>
  <c r="F61" i="1" l="1"/>
  <c r="H61" i="1" s="1"/>
  <c r="E63" i="1"/>
  <c r="G63" i="1" s="1"/>
  <c r="E61" i="1"/>
  <c r="G61" i="1" s="1"/>
  <c r="E59" i="1"/>
  <c r="G59" i="1" s="1"/>
  <c r="I59" i="1" s="1"/>
  <c r="E60" i="1"/>
  <c r="G60" i="1" s="1"/>
  <c r="E62" i="1"/>
  <c r="G62" i="1" s="1"/>
  <c r="I62" i="1" s="1"/>
  <c r="I64" i="1" s="1"/>
  <c r="C17" i="1" s="1"/>
  <c r="AD219" i="1" s="1"/>
  <c r="AE220" i="1" s="1"/>
  <c r="F60" i="1"/>
  <c r="H60" i="1" s="1"/>
  <c r="F63" i="1"/>
  <c r="H63" i="1" s="1"/>
  <c r="V87" i="1"/>
  <c r="X87" i="1" s="1"/>
  <c r="X88" i="1" s="1"/>
  <c r="AA127" i="1"/>
  <c r="Z78" i="1"/>
  <c r="AA194" i="1"/>
  <c r="AA195" i="1" s="1"/>
  <c r="X194" i="1"/>
  <c r="Y194" i="1" s="1"/>
  <c r="X191" i="1"/>
  <c r="V195" i="1"/>
  <c r="X212" i="1" s="1"/>
  <c r="X100" i="1"/>
  <c r="V88" i="1"/>
  <c r="AG228" i="1" l="1"/>
  <c r="AF226" i="1"/>
  <c r="AG227" i="1"/>
  <c r="AG229" i="1" s="1"/>
  <c r="AG230" i="1" s="1"/>
  <c r="AF225" i="1"/>
  <c r="AF224" i="1"/>
  <c r="AG226" i="1"/>
  <c r="AG224" i="1"/>
  <c r="AF228" i="1"/>
  <c r="AG225" i="1"/>
  <c r="AF227" i="1"/>
  <c r="AF229" i="1" s="1"/>
  <c r="AF230" i="1" s="1"/>
  <c r="I60" i="1"/>
  <c r="I61" i="1"/>
  <c r="I63" i="1"/>
  <c r="AA87" i="1"/>
  <c r="AA88" i="1" s="1"/>
  <c r="W91" i="1"/>
  <c r="V177" i="1" s="1"/>
  <c r="Y191" i="1"/>
  <c r="Y195" i="1" s="1"/>
  <c r="X195" i="1"/>
  <c r="V196" i="1" s="1"/>
  <c r="W105" i="1"/>
  <c r="W106" i="1"/>
  <c r="W90" i="1"/>
  <c r="Y87" i="1"/>
  <c r="AE239" i="1" l="1"/>
  <c r="AJ239" i="1" s="1"/>
  <c r="AE237" i="1"/>
  <c r="AJ237" i="1" s="1"/>
  <c r="Y118" i="1"/>
  <c r="W113" i="1"/>
  <c r="W114" i="1" s="1"/>
  <c r="W115" i="1" s="1"/>
  <c r="V176" i="1"/>
  <c r="X211" i="1"/>
  <c r="X213" i="1" s="1"/>
  <c r="X204" i="1"/>
  <c r="X205" i="1"/>
  <c r="X208" i="1"/>
  <c r="T200" i="1"/>
  <c r="Y88" i="1"/>
  <c r="W92" i="1" s="1"/>
  <c r="AF115" i="1" l="1"/>
  <c r="X214" i="1"/>
  <c r="X217" i="1" s="1"/>
  <c r="X218" i="1" s="1"/>
  <c r="Z213" i="1"/>
  <c r="X207" i="1"/>
  <c r="T209" i="1" s="1"/>
  <c r="Z115" i="1"/>
  <c r="X115" i="1"/>
  <c r="Z208" i="1" l="1"/>
  <c r="W222" i="1"/>
  <c r="W116" i="1"/>
  <c r="Y119" i="1" s="1"/>
  <c r="W120" i="1" s="1"/>
  <c r="U130" i="1" s="1"/>
  <c r="V130" i="1" l="1"/>
  <c r="AA130" i="1" s="1"/>
  <c r="AA131" i="1" s="1"/>
  <c r="U158" i="1"/>
  <c r="V158" i="1" s="1"/>
  <c r="X130" i="1" l="1"/>
  <c r="X131" i="1" s="1"/>
  <c r="V131" i="1"/>
  <c r="AA158" i="1"/>
  <c r="X158" i="1"/>
  <c r="Y158" i="1" s="1"/>
  <c r="Y130" i="1" l="1"/>
  <c r="Y131" i="1" s="1"/>
  <c r="W133" i="1"/>
  <c r="AD133" i="1" s="1"/>
  <c r="W134" i="1" l="1"/>
  <c r="Z155" i="1" s="1"/>
  <c r="U155" i="1" s="1"/>
  <c r="V155" i="1" s="1"/>
  <c r="AA155" i="1" s="1"/>
  <c r="Y145" i="1"/>
  <c r="V148" i="1" s="1"/>
  <c r="AD134" i="1"/>
  <c r="AD135" i="1"/>
  <c r="AG125" i="1"/>
  <c r="AG126" i="1"/>
  <c r="AG123" i="1"/>
  <c r="AG124" i="1" s="1"/>
  <c r="AG122" i="1"/>
  <c r="AG121" i="1"/>
  <c r="W155" i="1" l="1"/>
  <c r="X155" i="1" s="1"/>
  <c r="Y155" i="1" s="1"/>
  <c r="U147" i="1"/>
  <c r="W135" i="1"/>
  <c r="T146" i="1"/>
  <c r="V147" i="1"/>
  <c r="U157" i="1" s="1"/>
  <c r="V157" i="1" s="1"/>
  <c r="X145" i="1"/>
  <c r="U148" i="1"/>
  <c r="Z148" i="1"/>
  <c r="Z156" i="1" s="1"/>
  <c r="W156" i="1" s="1"/>
  <c r="U156" i="1"/>
  <c r="V156" i="1" s="1"/>
  <c r="Z147" i="1" l="1"/>
  <c r="Z157" i="1" s="1"/>
  <c r="W157" i="1" s="1"/>
  <c r="X157" i="1" s="1"/>
  <c r="Y157" i="1" s="1"/>
  <c r="AA156" i="1"/>
  <c r="X156" i="1"/>
  <c r="V159" i="1"/>
  <c r="X161" i="1" s="1"/>
  <c r="AA157" i="1" l="1"/>
  <c r="AA159" i="1" s="1"/>
  <c r="Y156" i="1"/>
  <c r="Y159" i="1" s="1"/>
  <c r="X159" i="1"/>
  <c r="X160" i="1" s="1"/>
  <c r="X162" i="1" l="1"/>
  <c r="X163" i="1" l="1"/>
  <c r="X165" i="1" s="1"/>
  <c r="X166" i="1" s="1"/>
  <c r="Z162" i="1"/>
  <c r="W169" i="1" l="1"/>
</calcChain>
</file>

<file path=xl/sharedStrings.xml><?xml version="1.0" encoding="utf-8"?>
<sst xmlns="http://schemas.openxmlformats.org/spreadsheetml/2006/main" count="954" uniqueCount="441">
  <si>
    <t>mm</t>
  </si>
  <si>
    <t>Геометрија попречног пресека</t>
  </si>
  <si>
    <t>fy=</t>
  </si>
  <si>
    <t>Ek=</t>
  </si>
  <si>
    <t>N/mm2</t>
  </si>
  <si>
    <t>Ефективне ширине за унутрашње делове</t>
  </si>
  <si>
    <t>ψ=1</t>
  </si>
  <si>
    <t>1&gt;ψ&gt;0</t>
  </si>
  <si>
    <t>ψ=0</t>
  </si>
  <si>
    <t>0&gt;ψ&gt;-1</t>
  </si>
  <si>
    <t>ψ=-1</t>
  </si>
  <si>
    <t>-1&gt;ψ&gt;=-3</t>
  </si>
  <si>
    <t>за</t>
  </si>
  <si>
    <t>Sef1=</t>
  </si>
  <si>
    <t>1&gt;ψ&gt;=0</t>
  </si>
  <si>
    <t>Sefn=</t>
  </si>
  <si>
    <t>ψ&lt;0</t>
  </si>
  <si>
    <t>ρ x Sc -Sef1 =</t>
  </si>
  <si>
    <t>0.4ρ x Sc =</t>
  </si>
  <si>
    <t>0.6ρ x Sc =</t>
  </si>
  <si>
    <t>ℓ⁰ =</t>
  </si>
  <si>
    <t>Материјал:</t>
  </si>
  <si>
    <t>kNm/m</t>
  </si>
  <si>
    <t>kNm</t>
  </si>
  <si>
    <t>g=</t>
  </si>
  <si>
    <t>n</t>
  </si>
  <si>
    <t>h(mm)</t>
  </si>
  <si>
    <t>bp/t =</t>
  </si>
  <si>
    <t>b1r=b1-gr=</t>
  </si>
  <si>
    <t>z</t>
  </si>
  <si>
    <t>L</t>
  </si>
  <si>
    <t>L x z</t>
  </si>
  <si>
    <t>Ag = t x L =</t>
  </si>
  <si>
    <t xml:space="preserve">Усвојено </t>
  </si>
  <si>
    <t>Релативна виткост на избочавање</t>
  </si>
  <si>
    <t>*)  Делотворна ширина притиснуте ножице</t>
  </si>
  <si>
    <t>ρ =</t>
  </si>
  <si>
    <t xml:space="preserve">beff = ρ x bp = </t>
  </si>
  <si>
    <t>Пошто је ножица укрућена све се рачуна за</t>
  </si>
  <si>
    <t>сваки засебни део</t>
  </si>
  <si>
    <t>xa=</t>
  </si>
  <si>
    <t>Ножица је укрућена са два симетрична међуукрућења па је:</t>
  </si>
  <si>
    <t>bs=</t>
  </si>
  <si>
    <t>ширина укрућења мерена по обиму</t>
  </si>
  <si>
    <t>2 bp1r + bp2 +2 bs=</t>
  </si>
  <si>
    <t>mm2</t>
  </si>
  <si>
    <t>Притиснута широка ножица</t>
  </si>
  <si>
    <t>mm4</t>
  </si>
  <si>
    <t>Редукција притисуте ножице због утицаја међуукрућења</t>
  </si>
  <si>
    <t>be2 =</t>
  </si>
  <si>
    <t>be1 =</t>
  </si>
  <si>
    <t>be =</t>
  </si>
  <si>
    <t>bs =</t>
  </si>
  <si>
    <t>0.5 beff =</t>
  </si>
  <si>
    <t>Нови положај неутралне осе</t>
  </si>
  <si>
    <t>hw-et1 =</t>
  </si>
  <si>
    <t>ψ = -et1/ec1 =</t>
  </si>
  <si>
    <t>Провера геометрије</t>
  </si>
  <si>
    <t>&lt; 90</t>
  </si>
  <si>
    <t>&gt; 45</t>
  </si>
  <si>
    <t>. Нагиб ребра</t>
  </si>
  <si>
    <t>hw/t=</t>
  </si>
  <si>
    <t>.Ширина пшојаса</t>
  </si>
  <si>
    <t xml:space="preserve">&lt;= </t>
  </si>
  <si>
    <t>&lt; =</t>
  </si>
  <si>
    <t>. Провера заобљења рубова</t>
  </si>
  <si>
    <t>&lt; 5 t =</t>
  </si>
  <si>
    <t>&lt; 0.10 bp =</t>
  </si>
  <si>
    <t>Утицаји заобљења рубова се занемарује</t>
  </si>
  <si>
    <t>. Провера shear laga</t>
  </si>
  <si>
    <t xml:space="preserve">&lt;=   0.85 L /50 = </t>
  </si>
  <si>
    <t>m</t>
  </si>
  <si>
    <t>. Провера извијања равног појаса (curling)</t>
  </si>
  <si>
    <t>. Висина ребра</t>
  </si>
  <si>
    <t>r (mm)=</t>
  </si>
  <si>
    <t>Tабела за прорачун бруто пресека</t>
  </si>
  <si>
    <t>Занемарује се ефекат shear laga</t>
  </si>
  <si>
    <t>&lt; hw/2 =</t>
  </si>
  <si>
    <t>Ефективна ширина притиснутог дела ребра</t>
  </si>
  <si>
    <t>Притиснути део ребра је без подужног укрућења</t>
  </si>
  <si>
    <t xml:space="preserve">Seff,o = </t>
  </si>
  <si>
    <t>Seff,1 =  Seff,o =</t>
  </si>
  <si>
    <t>Seff,n = 1.5 x Seff,o =</t>
  </si>
  <si>
    <t>Seff,1 +Seff,n=</t>
  </si>
  <si>
    <t>&lt; Sa =</t>
  </si>
  <si>
    <t>Seff,1 =  0.4 Sn =</t>
  </si>
  <si>
    <t>Seff,n =  0.6 Sn =</t>
  </si>
  <si>
    <t xml:space="preserve">Seff,1 =  </t>
  </si>
  <si>
    <t xml:space="preserve">Seff,n =  </t>
  </si>
  <si>
    <t xml:space="preserve">ec &lt; ha* = </t>
  </si>
  <si>
    <t>ефективна дужина деонице 5</t>
  </si>
  <si>
    <t>Само за bp1</t>
  </si>
  <si>
    <t>bp1,eff= ρ x bp1 =</t>
  </si>
  <si>
    <t>bp1,e1 = bp1,e2 = 0.5 bp1,eff =</t>
  </si>
  <si>
    <t>Само за bp2</t>
  </si>
  <si>
    <t>Све као за bp1</t>
  </si>
  <si>
    <t>Само за br</t>
  </si>
  <si>
    <t>br,eff= ρ x br =</t>
  </si>
  <si>
    <t>усв Leff,5 =</t>
  </si>
  <si>
    <t>hseff,1=</t>
  </si>
  <si>
    <t>hseff,n=</t>
  </si>
  <si>
    <t>4a</t>
  </si>
  <si>
    <t>4b</t>
  </si>
  <si>
    <t>4c</t>
  </si>
  <si>
    <t>et =</t>
  </si>
  <si>
    <t>Aeff = t x L =</t>
  </si>
  <si>
    <t>Weff,yc = Jeff,y / ec =</t>
  </si>
  <si>
    <t>mm3</t>
  </si>
  <si>
    <t>Отпорни момент за 1 метар ширине</t>
  </si>
  <si>
    <t>Weff,yc,1m = Weff,yc x 1000/bd =</t>
  </si>
  <si>
    <t>mm3/m</t>
  </si>
  <si>
    <t>Максимални моменат савијања који пресек може да пренесе</t>
  </si>
  <si>
    <t>у позитивном положају.</t>
  </si>
  <si>
    <t>cm3/m</t>
  </si>
  <si>
    <t>Затегнута широка ножица</t>
  </si>
  <si>
    <t>Прорачун бруто пресека</t>
  </si>
  <si>
    <t>Површина пресека као за претходни положај</t>
  </si>
  <si>
    <t>Ag =</t>
  </si>
  <si>
    <t>ec = hw-ec,1 =</t>
  </si>
  <si>
    <t>Неутрална оса као у претходном са обрнутом вредношћу</t>
  </si>
  <si>
    <t xml:space="preserve">bueff = ρ x bu = </t>
  </si>
  <si>
    <t>bue1 =</t>
  </si>
  <si>
    <t>bue2 =</t>
  </si>
  <si>
    <t xml:space="preserve">ec &gt;hb+hsa = </t>
  </si>
  <si>
    <t>Seff,2 = (1+0.5 hb/ec)x Seff,o =</t>
  </si>
  <si>
    <t>Seff,n =1.5Seff,o =</t>
  </si>
  <si>
    <t>Sumseff =</t>
  </si>
  <si>
    <t>Одговара претходна итерација па је:</t>
  </si>
  <si>
    <t>ec =</t>
  </si>
  <si>
    <t>у негативном положају.</t>
  </si>
  <si>
    <t>Максимални момент савијања који пресек може да пренесе</t>
  </si>
  <si>
    <t>cm4/m</t>
  </si>
  <si>
    <t>а) Позитиван положај</t>
  </si>
  <si>
    <t>б) Негативан положај</t>
  </si>
  <si>
    <t>t =</t>
  </si>
  <si>
    <t>fy</t>
  </si>
  <si>
    <t>ТР ЛИМ 35/200</t>
  </si>
  <si>
    <t xml:space="preserve">Редукција притиснутих делова ножице </t>
  </si>
  <si>
    <t xml:space="preserve">Jeff= </t>
  </si>
  <si>
    <t xml:space="preserve">Weff= </t>
  </si>
  <si>
    <t>&lt;hw/2 =</t>
  </si>
  <si>
    <t>Све је по претходној таблици</t>
  </si>
  <si>
    <t>Притиснута узана  ножица</t>
  </si>
  <si>
    <t>Неутрална оса као бруто са обрнутом вредношћу</t>
  </si>
  <si>
    <t>Положај неутралне осе</t>
  </si>
  <si>
    <t>bp1,eff,usv=</t>
  </si>
  <si>
    <t>bueffusv=</t>
  </si>
  <si>
    <t>ОВО</t>
  </si>
  <si>
    <t>Положај=</t>
  </si>
  <si>
    <t>Позитиван</t>
  </si>
  <si>
    <t xml:space="preserve"> kg/m2</t>
  </si>
  <si>
    <t>q =</t>
  </si>
  <si>
    <t>g+q =</t>
  </si>
  <si>
    <t>Q =</t>
  </si>
  <si>
    <t>N/cm</t>
  </si>
  <si>
    <t>Негативан</t>
  </si>
  <si>
    <t>Qu=1,35q+1,5g =</t>
  </si>
  <si>
    <t>kN/m</t>
  </si>
  <si>
    <t>L =</t>
  </si>
  <si>
    <t>cm</t>
  </si>
  <si>
    <t xml:space="preserve">E = </t>
  </si>
  <si>
    <t xml:space="preserve">Md+ </t>
  </si>
  <si>
    <t xml:space="preserve">Md- </t>
  </si>
  <si>
    <t>Позитиван положај</t>
  </si>
  <si>
    <t>За позитиван положај</t>
  </si>
  <si>
    <t>Md+ =</t>
  </si>
  <si>
    <t>За негативан положај</t>
  </si>
  <si>
    <t>Md- =</t>
  </si>
  <si>
    <t>Утицаји у греди</t>
  </si>
  <si>
    <t>Ru, max</t>
  </si>
  <si>
    <t>Мu,max</t>
  </si>
  <si>
    <t>Mu,min</t>
  </si>
  <si>
    <t>kN</t>
  </si>
  <si>
    <t>бр. поља</t>
  </si>
  <si>
    <t>у пољу</t>
  </si>
  <si>
    <t>на ослонцу</t>
  </si>
  <si>
    <t>Отпорност на Crippling ребра</t>
  </si>
  <si>
    <t>t=</t>
  </si>
  <si>
    <t>J</t>
  </si>
  <si>
    <t>u1</t>
  </si>
  <si>
    <t>u2</t>
  </si>
  <si>
    <t>u3</t>
  </si>
  <si>
    <t>u4</t>
  </si>
  <si>
    <t>u5</t>
  </si>
  <si>
    <t>за крајњи ослонац</t>
  </si>
  <si>
    <t>fy = 320</t>
  </si>
  <si>
    <t>Md+</t>
  </si>
  <si>
    <t>Md-</t>
  </si>
  <si>
    <t>fy = 280</t>
  </si>
  <si>
    <t>за унутрашњи ослонац</t>
  </si>
  <si>
    <t>ГРАНИЧНО СТАЊЕ УПОТРЕБЉИВОСТИ   УГИБ</t>
  </si>
  <si>
    <t>Максимални  притисак је у горњој ножици и претпоставља се да је :</t>
  </si>
  <si>
    <t>bp2=</t>
  </si>
  <si>
    <t>Закључак:</t>
  </si>
  <si>
    <t>Нема редукције притиснуте ножице за + положај. Раније утврђено да нема редукције</t>
  </si>
  <si>
    <t>ножице за - положај. Не врши се редукција притиснутих делова ребара због поједностављења.</t>
  </si>
  <si>
    <t>За прорачун угиба усваја се бруто пресек.</t>
  </si>
  <si>
    <t>Ј+</t>
  </si>
  <si>
    <t>ec +</t>
  </si>
  <si>
    <t>W+</t>
  </si>
  <si>
    <t>J-</t>
  </si>
  <si>
    <t>ec -</t>
  </si>
  <si>
    <t>W-</t>
  </si>
  <si>
    <t>контрола</t>
  </si>
  <si>
    <t>ec+ + ec- = hw</t>
  </si>
  <si>
    <t>За прорачун угиба узимају се стварни утицаји са силама без коефицијената.</t>
  </si>
  <si>
    <t>Притиснута широка ножица, контрола bp1 (најшире)</t>
  </si>
  <si>
    <t xml:space="preserve">Jg= </t>
  </si>
  <si>
    <t xml:space="preserve">Wg= </t>
  </si>
  <si>
    <t>Отпорност на смицање</t>
  </si>
  <si>
    <t>Ребро без укрућења</t>
  </si>
  <si>
    <t>Ребро са укрућењима</t>
  </si>
  <si>
    <t>kN/rebru</t>
  </si>
  <si>
    <t>Sd = укупна дужина ребра</t>
  </si>
  <si>
    <t>Делотворна виткост ребра</t>
  </si>
  <si>
    <t>Sp = најдужи прави део у ребру</t>
  </si>
  <si>
    <t>Vsa=</t>
  </si>
  <si>
    <t>Отпорност на смичуће избочавање fbv</t>
  </si>
  <si>
    <t>ребро без укрућења</t>
  </si>
  <si>
    <t>ребро са укрућењем</t>
  </si>
  <si>
    <t>Sd = 30,53+9,64+57,06 =</t>
  </si>
  <si>
    <t>λw*</t>
  </si>
  <si>
    <t>Sp =</t>
  </si>
  <si>
    <t>λw*&lt;0,83</t>
  </si>
  <si>
    <t>0,58 fyb</t>
  </si>
  <si>
    <t>0,83&lt;λw*&lt;1,4</t>
  </si>
  <si>
    <t>0,48 fyb /λw*</t>
  </si>
  <si>
    <t>λw* &gt; 1,4</t>
  </si>
  <si>
    <t xml:space="preserve">fbv = </t>
  </si>
  <si>
    <t xml:space="preserve">ширина ослонца </t>
  </si>
  <si>
    <t>b1 =</t>
  </si>
  <si>
    <t>ba =</t>
  </si>
  <si>
    <t xml:space="preserve">la = </t>
  </si>
  <si>
    <t>Отпорност на Crippling ребра са укрућењем</t>
  </si>
  <si>
    <t>hw/t &lt;= 200 =</t>
  </si>
  <si>
    <t>r/t&lt;= 6 =</t>
  </si>
  <si>
    <t>k = fyb/228 =</t>
  </si>
  <si>
    <t>fyb = N/mm2</t>
  </si>
  <si>
    <t>k1 = 1,33-0,33k =</t>
  </si>
  <si>
    <t>k2 = 1,15-0,15r/t =</t>
  </si>
  <si>
    <t>&gt;0,5 &lt; 1,0</t>
  </si>
  <si>
    <t>k4 = 1,22-0,22k =</t>
  </si>
  <si>
    <t>Ss,u =bu</t>
  </si>
  <si>
    <t>k5 = 1,06 - 0,06r/t =</t>
  </si>
  <si>
    <t>&lt;1</t>
  </si>
  <si>
    <t>kg/m2</t>
  </si>
  <si>
    <t>bp1,eff= ρ x br =</t>
  </si>
  <si>
    <t xml:space="preserve">Само за br = </t>
  </si>
  <si>
    <t>нема редукције</t>
  </si>
  <si>
    <t>Sum(Seff1+Seff2) =</t>
  </si>
  <si>
    <t>Sb=hb/sin =</t>
  </si>
  <si>
    <t>Само за br   косо ојачање</t>
  </si>
  <si>
    <t xml:space="preserve">&gt; Sb </t>
  </si>
  <si>
    <t>Seff3 = (1+0,5(hb+hsa)/ec)*Seffo =</t>
  </si>
  <si>
    <t>Seffn = 1,5 Seffo =</t>
  </si>
  <si>
    <t>Sn  = (ha-hw+ec)/sin =</t>
  </si>
  <si>
    <t>Sum(Seff3+Seffn) =</t>
  </si>
  <si>
    <t>&gt;Sn</t>
  </si>
  <si>
    <t>Max P према допуштеним моментима</t>
  </si>
  <si>
    <t>Упоређујемо за положај +</t>
  </si>
  <si>
    <t>Упоређујемо за положај -</t>
  </si>
  <si>
    <t xml:space="preserve">у пољу: </t>
  </si>
  <si>
    <t xml:space="preserve">Мd+ и Мgmаx </t>
  </si>
  <si>
    <t xml:space="preserve"> Md- и Mgmax</t>
  </si>
  <si>
    <t xml:space="preserve">на ослонцу: </t>
  </si>
  <si>
    <t>Md- и Mgmin</t>
  </si>
  <si>
    <t>Мd+  и Mgmin</t>
  </si>
  <si>
    <t>p usv</t>
  </si>
  <si>
    <t>k</t>
  </si>
  <si>
    <t>Qmax</t>
  </si>
  <si>
    <t>Qmin</t>
  </si>
  <si>
    <t>p+</t>
  </si>
  <si>
    <t>p-</t>
  </si>
  <si>
    <t>Угиб</t>
  </si>
  <si>
    <t>Qu = EJ/X*k*L3 =</t>
  </si>
  <si>
    <t>Q</t>
  </si>
  <si>
    <t>K</t>
  </si>
  <si>
    <t xml:space="preserve">fy = </t>
  </si>
  <si>
    <t>Qu=1,35*(q+g) =</t>
  </si>
  <si>
    <t>Мg,max</t>
  </si>
  <si>
    <t>Mg,min</t>
  </si>
  <si>
    <t>за угиб Јbr</t>
  </si>
  <si>
    <t>Rumax</t>
  </si>
  <si>
    <t>Ramax</t>
  </si>
  <si>
    <t>Тражимо  bA и bu  за p познато као max од момента</t>
  </si>
  <si>
    <t>kg</t>
  </si>
  <si>
    <t>Qu = 1,35q+1,5p =</t>
  </si>
  <si>
    <t>k,u</t>
  </si>
  <si>
    <t>за 1 ребро</t>
  </si>
  <si>
    <t>За ТР лимове</t>
  </si>
  <si>
    <t>за крајњи ослонац са  Ss/t&gt;60</t>
  </si>
  <si>
    <t>La=</t>
  </si>
  <si>
    <t>За средњи ослонац  и с&gt;1,5 hw и Ss/t&gt;60</t>
  </si>
  <si>
    <t>Rumax,g+Rumax,p</t>
  </si>
  <si>
    <t>p</t>
  </si>
  <si>
    <t>Ru,p + Ru,g</t>
  </si>
  <si>
    <t>Ru,p = Vr,d - Ru,g =</t>
  </si>
  <si>
    <t xml:space="preserve"> p =</t>
  </si>
  <si>
    <t>b =</t>
  </si>
  <si>
    <r>
      <t xml:space="preserve">Rwrd= </t>
    </r>
    <r>
      <rPr>
        <sz val="11"/>
        <rFont val="Calibri"/>
        <family val="2"/>
        <charset val="238"/>
      </rPr>
      <t/>
    </r>
  </si>
  <si>
    <t>2*R1wrd *1000/ bd</t>
  </si>
  <si>
    <t>RA =</t>
  </si>
  <si>
    <t>bA =</t>
  </si>
  <si>
    <t>Ru =</t>
  </si>
  <si>
    <t>bu =</t>
  </si>
  <si>
    <t>pu, max</t>
  </si>
  <si>
    <t>kg/m</t>
  </si>
  <si>
    <t>40-200 mm</t>
  </si>
  <si>
    <r>
      <t>γm</t>
    </r>
    <r>
      <rPr>
        <sz val="8.8000000000000007"/>
        <color theme="0"/>
        <rFont val="Calibri"/>
        <family val="2"/>
      </rPr>
      <t xml:space="preserve"> =</t>
    </r>
  </si>
  <si>
    <r>
      <t>R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, max</t>
    </r>
  </si>
  <si>
    <r>
      <t xml:space="preserve">g </t>
    </r>
    <r>
      <rPr>
        <sz val="10"/>
        <color theme="0"/>
        <rFont val="Calibri"/>
        <family val="2"/>
        <scheme val="minor"/>
      </rPr>
      <t>(kg/m</t>
    </r>
    <r>
      <rPr>
        <vertAlign val="superscript"/>
        <sz val="10"/>
        <color theme="0"/>
        <rFont val="Calibri"/>
        <family val="2"/>
        <scheme val="minor"/>
      </rPr>
      <t>2</t>
    </r>
    <r>
      <rPr>
        <sz val="10"/>
        <color theme="0"/>
        <rFont val="Calibri"/>
        <family val="2"/>
        <scheme val="minor"/>
      </rPr>
      <t>)</t>
    </r>
  </si>
  <si>
    <r>
      <t xml:space="preserve">h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</si>
  <si>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bp1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</si>
  <si>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h</t>
    </r>
    <r>
      <rPr>
        <sz val="9"/>
        <color theme="0"/>
        <rFont val="Calibri"/>
        <family val="2"/>
        <scheme val="minor"/>
      </rPr>
      <t>a*</t>
    </r>
    <r>
      <rPr>
        <sz val="11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</si>
  <si>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bd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</si>
  <si>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bp2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</si>
  <si>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hs</t>
    </r>
    <r>
      <rPr>
        <sz val="9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</si>
  <si>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 xml:space="preserve">bu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</si>
  <si>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 xml:space="preserve">t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</si>
  <si>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</si>
  <si>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r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</si>
  <si>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hbr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</si>
  <si>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</t>
    </r>
    <r>
      <rPr>
        <sz val="9"/>
        <color theme="0"/>
        <rFont val="Calibri"/>
        <family val="2"/>
        <scheme val="minor"/>
      </rPr>
      <t>ha</t>
    </r>
    <r>
      <rPr>
        <sz val="11"/>
        <color theme="0"/>
        <rFont val="Calibri"/>
        <family val="2"/>
        <scheme val="minor"/>
      </rPr>
      <t>(mm)=</t>
    </r>
  </si>
  <si>
    <r>
      <t>r</t>
    </r>
    <r>
      <rPr>
        <sz val="9"/>
        <color theme="0"/>
        <rFont val="Calibri"/>
        <family val="2"/>
        <scheme val="minor"/>
      </rPr>
      <t>m</t>
    </r>
    <r>
      <rPr>
        <sz val="11"/>
        <color theme="0"/>
        <rFont val="Calibri"/>
        <family val="2"/>
        <scheme val="minor"/>
      </rPr>
      <t xml:space="preserve"> 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</si>
  <si>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gr</t>
    </r>
    <r>
      <rPr>
        <sz val="9"/>
        <color theme="0"/>
        <rFont val="Calibri"/>
        <family val="2"/>
        <scheme val="minor"/>
      </rPr>
      <t>=rmx(tg</t>
    </r>
    <r>
      <rPr>
        <sz val="9"/>
        <color theme="0"/>
        <rFont val="Calibri"/>
        <family val="2"/>
      </rPr>
      <t>ℓ/2-sinℓ/2)=</t>
    </r>
  </si>
  <si>
    <r>
      <t>h</t>
    </r>
    <r>
      <rPr>
        <sz val="9"/>
        <color theme="0"/>
        <rFont val="Calibri"/>
        <family val="2"/>
        <scheme val="minor"/>
      </rPr>
      <t>a(mm)</t>
    </r>
    <r>
      <rPr>
        <sz val="11"/>
        <color theme="0"/>
        <rFont val="Calibri"/>
        <family val="2"/>
        <scheme val="minor"/>
      </rPr>
      <t>=</t>
    </r>
  </si>
  <si>
    <r>
      <t xml:space="preserve">ℓ </t>
    </r>
    <r>
      <rPr>
        <sz val="9"/>
        <color theme="0"/>
        <rFont val="Calibri"/>
        <family val="2"/>
        <scheme val="minor"/>
      </rPr>
      <t>(rad)</t>
    </r>
    <r>
      <rPr>
        <sz val="9.9"/>
        <color theme="0"/>
        <rFont val="Calibri"/>
        <family val="2"/>
        <scheme val="minor"/>
      </rPr>
      <t>=</t>
    </r>
  </si>
  <si>
    <r>
      <t>bp=b</t>
    </r>
    <r>
      <rPr>
        <sz val="10"/>
        <color theme="0"/>
        <rFont val="Calibri"/>
        <family val="2"/>
      </rPr>
      <t xml:space="preserve"> -2gr</t>
    </r>
    <r>
      <rPr>
        <sz val="11"/>
        <color theme="0"/>
        <rFont val="Calibri"/>
        <family val="2"/>
      </rPr>
      <t>=</t>
    </r>
  </si>
  <si>
    <r>
      <rPr>
        <sz val="9"/>
        <color theme="0"/>
        <rFont val="Calibri"/>
        <family val="2"/>
        <scheme val="minor"/>
      </rPr>
      <t>Sa(mm)</t>
    </r>
    <r>
      <rPr>
        <sz val="11"/>
        <color theme="0"/>
        <rFont val="Calibri"/>
        <family val="2"/>
        <scheme val="minor"/>
      </rPr>
      <t>=</t>
    </r>
  </si>
  <si>
    <r>
      <t>V</t>
    </r>
    <r>
      <rPr>
        <sz val="9"/>
        <color theme="0"/>
        <rFont val="Calibri"/>
        <family val="2"/>
        <scheme val="minor"/>
      </rPr>
      <t>sa(mm)=</t>
    </r>
  </si>
  <si>
    <r>
      <t>hw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</si>
  <si>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br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</si>
  <si>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rPr>
        <sz val="9"/>
        <color theme="0"/>
        <rFont val="Calibri"/>
        <family val="2"/>
        <scheme val="minor"/>
      </rPr>
      <t>Ssa(mm)</t>
    </r>
    <r>
      <rPr>
        <sz val="11"/>
        <color theme="0"/>
        <rFont val="Calibri"/>
        <family val="2"/>
        <scheme val="minor"/>
      </rPr>
      <t>=</t>
    </r>
  </si>
  <si>
    <r>
      <t>hb</t>
    </r>
    <r>
      <rPr>
        <sz val="9"/>
        <color theme="0"/>
        <rFont val="Calibri"/>
        <family val="2"/>
        <scheme val="minor"/>
      </rPr>
      <t>(mm)</t>
    </r>
    <r>
      <rPr>
        <sz val="11"/>
        <color theme="0"/>
        <rFont val="Calibri"/>
        <family val="2"/>
        <scheme val="minor"/>
      </rPr>
      <t>=</t>
    </r>
  </si>
  <si>
    <r>
      <t>Sw=hw/sin</t>
    </r>
    <r>
      <rPr>
        <sz val="11"/>
        <color theme="0"/>
        <rFont val="Calibri"/>
        <family val="2"/>
      </rPr>
      <t>ρ</t>
    </r>
    <r>
      <rPr>
        <sz val="9.9"/>
        <color theme="0"/>
        <rFont val="Calibri"/>
        <family val="2"/>
      </rPr>
      <t>=</t>
    </r>
  </si>
  <si>
    <r>
      <t>S</t>
    </r>
    <r>
      <rPr>
        <sz val="9"/>
        <color theme="0"/>
        <rFont val="Calibri"/>
        <family val="2"/>
        <scheme val="minor"/>
      </rPr>
      <t>sbr(mm)</t>
    </r>
    <r>
      <rPr>
        <sz val="11"/>
        <color theme="0"/>
        <rFont val="Calibri"/>
        <family val="2"/>
        <scheme val="minor"/>
      </rPr>
      <t>=</t>
    </r>
  </si>
  <si>
    <r>
      <t>500 sin</t>
    </r>
    <r>
      <rPr>
        <sz val="11"/>
        <color theme="0"/>
        <rFont val="Calibri"/>
        <family val="2"/>
      </rPr>
      <t>ρ</t>
    </r>
    <r>
      <rPr>
        <sz val="9.9"/>
        <color theme="0"/>
        <rFont val="Calibri"/>
        <family val="2"/>
      </rPr>
      <t xml:space="preserve"> =</t>
    </r>
  </si>
  <si>
    <r>
      <t>&gt;=    250 x Sw/bp</t>
    </r>
    <r>
      <rPr>
        <sz val="9.9"/>
        <color theme="0"/>
        <rFont val="Calibri"/>
        <family val="2"/>
      </rPr>
      <t xml:space="preserve"> =</t>
    </r>
  </si>
  <si>
    <r>
      <t>b</t>
    </r>
    <r>
      <rPr>
        <sz val="11"/>
        <color theme="0"/>
        <rFont val="Calibri"/>
        <family val="2"/>
      </rPr>
      <t>₀</t>
    </r>
    <r>
      <rPr>
        <sz val="9.9"/>
        <color theme="0"/>
        <rFont val="Calibri"/>
        <family val="2"/>
      </rPr>
      <t>=bp/2 =</t>
    </r>
  </si>
  <si>
    <r>
      <t>L</t>
    </r>
    <r>
      <rPr>
        <sz val="9"/>
        <color theme="0"/>
        <rFont val="Calibri"/>
        <family val="2"/>
        <scheme val="minor"/>
      </rPr>
      <t>i</t>
    </r>
    <r>
      <rPr>
        <sz val="11"/>
        <color theme="0"/>
        <rFont val="Calibri"/>
        <family val="2"/>
        <scheme val="minor"/>
      </rPr>
      <t xml:space="preserve"> mm</t>
    </r>
  </si>
  <si>
    <r>
      <t>Lz</t>
    </r>
    <r>
      <rPr>
        <sz val="11"/>
        <color theme="0"/>
        <rFont val="Calibri"/>
        <family val="2"/>
      </rPr>
      <t>²</t>
    </r>
  </si>
  <si>
    <r>
      <t>Lh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>/12</t>
    </r>
  </si>
  <si>
    <r>
      <t>Σ</t>
    </r>
    <r>
      <rPr>
        <sz val="9.9"/>
        <color theme="0"/>
        <rFont val="Calibri"/>
        <family val="2"/>
      </rPr>
      <t xml:space="preserve">  =</t>
    </r>
  </si>
  <si>
    <r>
      <t>ec=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>L x z/ΣL=</t>
    </r>
  </si>
  <si>
    <r>
      <t>mm</t>
    </r>
    <r>
      <rPr>
        <sz val="11"/>
        <color theme="0"/>
        <rFont val="Calibri"/>
        <family val="2"/>
      </rPr>
      <t>²</t>
    </r>
  </si>
  <si>
    <r>
      <t>Jg = t x (Lz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>+Lh²</t>
    </r>
    <r>
      <rPr>
        <sz val="11"/>
        <color theme="0"/>
        <rFont val="Calibri"/>
        <family val="2"/>
        <scheme val="minor"/>
      </rPr>
      <t>/12-Lec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 xml:space="preserve">) = </t>
    </r>
  </si>
  <si>
    <r>
      <t>mm</t>
    </r>
    <r>
      <rPr>
        <sz val="11"/>
        <color theme="0"/>
        <rFont val="Calibri"/>
        <family val="2"/>
      </rPr>
      <t>4</t>
    </r>
  </si>
  <si>
    <r>
      <t>к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 xml:space="preserve"> = </t>
    </r>
  </si>
  <si>
    <r>
      <t>усвојено ψ</t>
    </r>
    <r>
      <rPr>
        <sz val="9.9"/>
        <color theme="0"/>
        <rFont val="Calibri"/>
        <family val="2"/>
      </rPr>
      <t xml:space="preserve"> = </t>
    </r>
  </si>
  <si>
    <r>
      <t>ε</t>
    </r>
    <r>
      <rPr>
        <sz val="9.9"/>
        <color theme="0"/>
        <rFont val="Calibri"/>
        <family val="2"/>
      </rPr>
      <t xml:space="preserve"> = √235/fy =</t>
    </r>
  </si>
  <si>
    <r>
      <t>ρ = (λ*-0.0055*(3+ψ</t>
    </r>
    <r>
      <rPr>
        <sz val="9.9"/>
        <color theme="0"/>
        <rFont val="Calibri"/>
        <family val="2"/>
      </rPr>
      <t>))/λ</t>
    </r>
    <r>
      <rPr>
        <sz val="8.9"/>
        <color theme="0"/>
        <rFont val="Calibri"/>
        <family val="2"/>
      </rPr>
      <t>*²</t>
    </r>
  </si>
  <si>
    <r>
      <t>λ*</t>
    </r>
    <r>
      <rPr>
        <sz val="9.9"/>
        <color theme="0"/>
        <rFont val="Calibri"/>
        <family val="2"/>
      </rPr>
      <t>=( bp/t )/(28.4 ε √kσ) =</t>
    </r>
  </si>
  <si>
    <r>
      <t>ρ =1 za λ</t>
    </r>
    <r>
      <rPr>
        <sz val="9.9"/>
        <color theme="0"/>
        <rFont val="Calibri"/>
        <family val="2"/>
      </rPr>
      <t>* &lt;= 0.673</t>
    </r>
  </si>
  <si>
    <r>
      <t xml:space="preserve">Овде је </t>
    </r>
    <r>
      <rPr>
        <sz val="11"/>
        <color theme="0"/>
        <rFont val="Calibri"/>
        <family val="2"/>
      </rPr>
      <t>ψ</t>
    </r>
    <r>
      <rPr>
        <sz val="9.9"/>
        <color theme="0"/>
        <rFont val="Calibri"/>
        <family val="2"/>
      </rPr>
      <t>=1 зато што је пресек</t>
    </r>
  </si>
  <si>
    <r>
      <t>bpr+2hbr x (</t>
    </r>
    <r>
      <rPr>
        <sz val="11"/>
        <color theme="0"/>
        <rFont val="Calibri"/>
        <family val="2"/>
      </rPr>
      <t>√</t>
    </r>
    <r>
      <rPr>
        <sz val="9.9"/>
        <color theme="0"/>
        <rFont val="Calibri"/>
        <family val="2"/>
      </rPr>
      <t>2 -1)=</t>
    </r>
  </si>
  <si>
    <r>
      <t xml:space="preserve">притиснут и симетричан па је 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>1=σ2</t>
    </r>
  </si>
  <si>
    <r>
      <t>а и к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 xml:space="preserve">= 4 </t>
    </r>
  </si>
  <si>
    <r>
      <t>λ*</t>
    </r>
    <r>
      <rPr>
        <sz val="9.9"/>
        <color theme="0"/>
        <rFont val="Calibri"/>
        <family val="2"/>
      </rPr>
      <t>=( bp1/t )/(28.4 ε √kσ) =</t>
    </r>
  </si>
  <si>
    <r>
      <t>λ*</t>
    </r>
    <r>
      <rPr>
        <sz val="9.9"/>
        <color theme="0"/>
        <rFont val="Calibri"/>
        <family val="2"/>
      </rPr>
      <t>=( br/t )/(28.4 ε √kσ) =</t>
    </r>
  </si>
  <si>
    <r>
      <t>ψ</t>
    </r>
    <r>
      <rPr>
        <sz val="9.9"/>
        <color theme="0"/>
        <rFont val="Calibri"/>
        <family val="2"/>
      </rPr>
      <t xml:space="preserve"> = (ec-hbr)/ec =</t>
    </r>
  </si>
  <si>
    <r>
      <t>к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>=</t>
    </r>
  </si>
  <si>
    <r>
      <t>к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>=8.2/(1.05+ψ</t>
    </r>
    <r>
      <rPr>
        <sz val="11"/>
        <color theme="0"/>
        <rFont val="Calibri"/>
        <family val="2"/>
        <scheme val="minor"/>
      </rPr>
      <t>)=</t>
    </r>
  </si>
  <si>
    <r>
      <t>к</t>
    </r>
    <r>
      <rPr>
        <sz val="9"/>
        <color theme="0"/>
        <rFont val="Calibri"/>
        <family val="2"/>
      </rPr>
      <t>σ=7.81-6.29ψ</t>
    </r>
    <r>
      <rPr>
        <sz val="9"/>
        <color theme="0"/>
        <rFont val="Calibri"/>
        <family val="2"/>
        <scheme val="minor"/>
      </rPr>
      <t>+9.78</t>
    </r>
    <r>
      <rPr>
        <sz val="9"/>
        <color theme="0"/>
        <rFont val="Calibri"/>
        <family val="2"/>
      </rPr>
      <t>ψ²=</t>
    </r>
  </si>
  <si>
    <r>
      <t>Leff,5,1 =3be1+3be2+2x(br+2hbr x (</t>
    </r>
    <r>
      <rPr>
        <sz val="11"/>
        <color theme="0"/>
        <rFont val="Calibri"/>
        <family val="2"/>
      </rPr>
      <t>√2-1))=</t>
    </r>
  </si>
  <si>
    <r>
      <t>Leff,5,2 =4bp1,e1+2bp2,e1+2x(br,eff+2hbr x (</t>
    </r>
    <r>
      <rPr>
        <sz val="11"/>
        <color theme="0"/>
        <rFont val="Calibri"/>
        <family val="2"/>
      </rPr>
      <t>√2-1))=</t>
    </r>
  </si>
  <si>
    <r>
      <t>к</t>
    </r>
    <r>
      <rPr>
        <sz val="11"/>
        <color theme="0"/>
        <rFont val="Calibri"/>
        <family val="2"/>
      </rPr>
      <t>σ</t>
    </r>
    <r>
      <rPr>
        <sz val="9.9"/>
        <color theme="0"/>
        <rFont val="Calibri"/>
        <family val="2"/>
      </rPr>
      <t>=5.98x(1-ψ</t>
    </r>
    <r>
      <rPr>
        <sz val="11"/>
        <color theme="0"/>
        <rFont val="Calibri"/>
        <family val="2"/>
        <scheme val="minor"/>
      </rPr>
      <t>)</t>
    </r>
    <r>
      <rPr>
        <sz val="11"/>
        <color theme="0"/>
        <rFont val="Calibri"/>
        <family val="2"/>
      </rPr>
      <t>² =</t>
    </r>
  </si>
  <si>
    <r>
      <t>0.5</t>
    </r>
    <r>
      <rPr>
        <sz val="11"/>
        <color theme="0"/>
        <rFont val="Calibri"/>
        <family val="2"/>
      </rPr>
      <t>ρ x Sc =</t>
    </r>
  </si>
  <si>
    <r>
      <t>2 x</t>
    </r>
    <r>
      <rPr>
        <sz val="11"/>
        <color theme="0"/>
        <rFont val="Calibri"/>
        <family val="2"/>
      </rPr>
      <t>ρxSc/(5-ψ) =</t>
    </r>
  </si>
  <si>
    <r>
      <t>Sn = ec/sin</t>
    </r>
    <r>
      <rPr>
        <sz val="11"/>
        <color theme="0"/>
        <rFont val="Calibri"/>
        <family val="2"/>
      </rPr>
      <t>ρ</t>
    </r>
    <r>
      <rPr>
        <sz val="9.9"/>
        <color theme="0"/>
        <rFont val="Calibri"/>
        <family val="2"/>
      </rPr>
      <t xml:space="preserve"> =</t>
    </r>
  </si>
  <si>
    <r>
      <t>Jeff= t x (Lz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>+Lh²</t>
    </r>
    <r>
      <rPr>
        <sz val="11"/>
        <color theme="0"/>
        <rFont val="Calibri"/>
        <family val="2"/>
        <scheme val="minor"/>
      </rPr>
      <t>/12-Lec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 xml:space="preserve">) = </t>
    </r>
  </si>
  <si>
    <r>
      <t>Md</t>
    </r>
    <r>
      <rPr>
        <vertAlign val="superscript"/>
        <sz val="11"/>
        <color theme="0"/>
        <rFont val="Calibri"/>
        <family val="2"/>
      </rPr>
      <t xml:space="preserve">+ </t>
    </r>
    <r>
      <rPr>
        <sz val="11"/>
        <color theme="0"/>
        <rFont val="Calibri"/>
        <family val="2"/>
      </rPr>
      <t>= fy x Weff / γm=</t>
    </r>
  </si>
  <si>
    <r>
      <t>γ</t>
    </r>
    <r>
      <rPr>
        <sz val="8.8000000000000007"/>
        <color theme="0"/>
        <rFont val="Calibri"/>
        <family val="2"/>
      </rPr>
      <t>m =</t>
    </r>
  </si>
  <si>
    <r>
      <t>Seff,o = 0.76 t  √E/(γ</t>
    </r>
    <r>
      <rPr>
        <vertAlign val="subscript"/>
        <sz val="11"/>
        <color theme="0"/>
        <rFont val="Calibri"/>
        <family val="2"/>
      </rPr>
      <t>Mo</t>
    </r>
    <r>
      <rPr>
        <sz val="11"/>
        <color theme="0"/>
        <rFont val="Calibri"/>
        <family val="2"/>
      </rPr>
      <t xml:space="preserve"> x σ</t>
    </r>
    <r>
      <rPr>
        <vertAlign val="subscript"/>
        <sz val="11"/>
        <color theme="0"/>
        <rFont val="Calibri"/>
        <family val="2"/>
      </rPr>
      <t>com,Ed</t>
    </r>
    <r>
      <rPr>
        <sz val="11"/>
        <color theme="0"/>
        <rFont val="Calibri"/>
        <family val="2"/>
      </rPr>
      <t>)</t>
    </r>
  </si>
  <si>
    <r>
      <t>γ</t>
    </r>
    <r>
      <rPr>
        <vertAlign val="subscript"/>
        <sz val="11"/>
        <color theme="0"/>
        <rFont val="Calibri"/>
        <family val="2"/>
      </rPr>
      <t>Mo</t>
    </r>
    <r>
      <rPr>
        <sz val="11"/>
        <color theme="0"/>
        <rFont val="Calibri"/>
        <family val="2"/>
      </rPr>
      <t xml:space="preserve"> =</t>
    </r>
  </si>
  <si>
    <r>
      <t xml:space="preserve"> σ</t>
    </r>
    <r>
      <rPr>
        <vertAlign val="subscript"/>
        <sz val="11"/>
        <color theme="0"/>
        <rFont val="Calibri"/>
        <family val="2"/>
      </rPr>
      <t xml:space="preserve">com,Ed </t>
    </r>
    <r>
      <rPr>
        <sz val="11"/>
        <color theme="0"/>
        <rFont val="Calibri"/>
        <family val="2"/>
      </rPr>
      <t xml:space="preserve">= </t>
    </r>
  </si>
  <si>
    <r>
      <t>Jeff,y = t x (Lz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>+Lh²</t>
    </r>
    <r>
      <rPr>
        <sz val="11"/>
        <color theme="0"/>
        <rFont val="Calibri"/>
        <family val="2"/>
        <scheme val="minor"/>
      </rPr>
      <t>/12-Lec</t>
    </r>
    <r>
      <rPr>
        <sz val="11"/>
        <color theme="0"/>
        <rFont val="Calibri"/>
        <family val="2"/>
      </rPr>
      <t>²</t>
    </r>
    <r>
      <rPr>
        <sz val="9.9"/>
        <color theme="0"/>
        <rFont val="Calibri"/>
        <family val="2"/>
      </rPr>
      <t xml:space="preserve">) = </t>
    </r>
  </si>
  <si>
    <r>
      <t>λ*</t>
    </r>
    <r>
      <rPr>
        <sz val="9.9"/>
        <color theme="0"/>
        <rFont val="Calibri"/>
        <family val="2"/>
      </rPr>
      <t>=( bu/t )/(28.4 ε √kσ) =</t>
    </r>
  </si>
  <si>
    <r>
      <t>γ</t>
    </r>
    <r>
      <rPr>
        <vertAlign val="subscript"/>
        <sz val="11"/>
        <color theme="0"/>
        <rFont val="Calibri"/>
        <family val="2"/>
        <scheme val="minor"/>
      </rPr>
      <t>MO</t>
    </r>
    <r>
      <rPr>
        <sz val="11"/>
        <color theme="0"/>
        <rFont val="Calibri"/>
        <family val="2"/>
        <scheme val="minor"/>
      </rPr>
      <t xml:space="preserve"> =</t>
    </r>
  </si>
  <si>
    <r>
      <t>γ</t>
    </r>
    <r>
      <rPr>
        <vertAlign val="subscript"/>
        <sz val="11"/>
        <color theme="0"/>
        <rFont val="Calibri"/>
        <family val="2"/>
        <scheme val="minor"/>
      </rPr>
      <t>M1</t>
    </r>
    <r>
      <rPr>
        <sz val="11"/>
        <color theme="0"/>
        <rFont val="Calibri"/>
        <family val="2"/>
        <scheme val="minor"/>
      </rPr>
      <t xml:space="preserve"> =</t>
    </r>
  </si>
  <si>
    <r>
      <t>V</t>
    </r>
    <r>
      <rPr>
        <sz val="9"/>
        <color theme="0"/>
        <rFont val="Calibri"/>
        <family val="2"/>
        <scheme val="minor"/>
      </rPr>
      <t xml:space="preserve">pl,Rd </t>
    </r>
    <r>
      <rPr>
        <sz val="11"/>
        <color theme="0"/>
        <rFont val="Calibri"/>
        <family val="2"/>
        <scheme val="minor"/>
      </rPr>
      <t>=</t>
    </r>
  </si>
  <si>
    <r>
      <t>h</t>
    </r>
    <r>
      <rPr>
        <sz val="9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/sin</t>
    </r>
    <r>
      <rPr>
        <sz val="11"/>
        <color theme="0"/>
        <rFont val="Calibri"/>
        <family val="2"/>
      </rPr>
      <t>ϕ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x t x fy/(γ</t>
    </r>
    <r>
      <rPr>
        <vertAlign val="subscript"/>
        <sz val="8"/>
        <color theme="0"/>
        <rFont val="Calibri"/>
        <family val="2"/>
        <scheme val="minor"/>
      </rPr>
      <t xml:space="preserve">MO </t>
    </r>
    <r>
      <rPr>
        <sz val="11"/>
        <color theme="0"/>
        <rFont val="Calibri"/>
        <family val="2"/>
        <scheme val="minor"/>
      </rPr>
      <t xml:space="preserve">x </t>
    </r>
    <r>
      <rPr>
        <sz val="11"/>
        <color theme="0"/>
        <rFont val="Calibri"/>
        <family val="2"/>
      </rPr>
      <t>Ѵ3) =</t>
    </r>
  </si>
  <si>
    <r>
      <t>λ</t>
    </r>
    <r>
      <rPr>
        <sz val="8.8000000000000007"/>
        <color theme="0"/>
        <rFont val="Calibri"/>
        <family val="2"/>
      </rPr>
      <t xml:space="preserve">w* = </t>
    </r>
    <r>
      <rPr>
        <sz val="11"/>
        <color theme="0"/>
        <rFont val="Calibri"/>
        <family val="2"/>
      </rPr>
      <t>0,346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x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S</t>
    </r>
    <r>
      <rPr>
        <sz val="8.8000000000000007"/>
        <color theme="0"/>
        <rFont val="Calibri"/>
        <family val="2"/>
      </rPr>
      <t>w/</t>
    </r>
    <r>
      <rPr>
        <sz val="11"/>
        <color theme="0"/>
        <rFont val="Calibri"/>
        <family val="2"/>
      </rPr>
      <t>t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x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Ѵ(fy/E) =</t>
    </r>
  </si>
  <si>
    <r>
      <t>λ</t>
    </r>
    <r>
      <rPr>
        <sz val="8.8000000000000007"/>
        <color theme="0"/>
        <rFont val="Calibri"/>
        <family val="2"/>
      </rPr>
      <t xml:space="preserve">w* = </t>
    </r>
    <r>
      <rPr>
        <sz val="11"/>
        <color theme="0"/>
        <rFont val="Calibri"/>
        <family val="2"/>
      </rPr>
      <t>0,346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x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Sd/t x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Ѵ(5,34fy/(E x kt) =</t>
    </r>
  </si>
  <si>
    <r>
      <t>kt = 5,34+(2,1*(</t>
    </r>
    <r>
      <rPr>
        <sz val="11"/>
        <color theme="0"/>
        <rFont val="Calibri"/>
        <family val="2"/>
      </rPr>
      <t>ΣJs/sd)</t>
    </r>
    <r>
      <rPr>
        <vertAlign val="superscript"/>
        <sz val="11"/>
        <color theme="0"/>
        <rFont val="Calibri"/>
        <family val="2"/>
      </rPr>
      <t>1/3)/t</t>
    </r>
  </si>
  <si>
    <r>
      <t>Js1 =t x Vsa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/12 =</t>
    </r>
  </si>
  <si>
    <r>
      <t>kt= 5,34 + 2,1/t * (</t>
    </r>
    <r>
      <rPr>
        <sz val="11"/>
        <color theme="0"/>
        <rFont val="Calibri"/>
        <family val="2"/>
      </rPr>
      <t>ΣJs/Sd)</t>
    </r>
    <r>
      <rPr>
        <vertAlign val="superscript"/>
        <sz val="11"/>
        <color theme="0"/>
        <rFont val="Calibri"/>
        <family val="2"/>
        <scheme val="minor"/>
      </rPr>
      <t xml:space="preserve">1/3 </t>
    </r>
    <r>
      <rPr>
        <sz val="11"/>
        <color theme="0"/>
        <rFont val="Calibri"/>
        <family val="2"/>
        <scheme val="minor"/>
      </rPr>
      <t>=</t>
    </r>
  </si>
  <si>
    <r>
      <t>λ</t>
    </r>
    <r>
      <rPr>
        <sz val="8.8000000000000007"/>
        <color theme="0"/>
        <rFont val="Calibri"/>
        <family val="2"/>
      </rPr>
      <t xml:space="preserve">w* = </t>
    </r>
    <r>
      <rPr>
        <sz val="11"/>
        <color theme="1"/>
        <rFont val="Calibri"/>
        <family val="2"/>
      </rPr>
      <t/>
    </r>
  </si>
  <si>
    <r>
      <t>0,67 fyb /λw*</t>
    </r>
    <r>
      <rPr>
        <sz val="11"/>
        <color theme="0"/>
        <rFont val="Calibri"/>
        <family val="2"/>
      </rPr>
      <t>²</t>
    </r>
  </si>
  <si>
    <r>
      <t xml:space="preserve">али  λw* &gt;=  0,346Sp/t </t>
    </r>
    <r>
      <rPr>
        <sz val="11"/>
        <color theme="0"/>
        <rFont val="Calibri"/>
        <family val="2"/>
      </rPr>
      <t>Ѵfy/E</t>
    </r>
  </si>
  <si>
    <r>
      <t>fbv= 0,67*fyb/</t>
    </r>
    <r>
      <rPr>
        <sz val="11"/>
        <color theme="0"/>
        <rFont val="Calibri"/>
        <family val="2"/>
      </rPr>
      <t>λ</t>
    </r>
    <r>
      <rPr>
        <sz val="8.8000000000000007"/>
        <color theme="0"/>
        <rFont val="Calibri"/>
        <family val="2"/>
      </rPr>
      <t>w*</t>
    </r>
    <r>
      <rPr>
        <vertAlign val="superscript"/>
        <sz val="8.8000000000000007"/>
        <color theme="0"/>
        <rFont val="Calibri"/>
        <family val="2"/>
      </rPr>
      <t xml:space="preserve">2 </t>
    </r>
    <r>
      <rPr>
        <sz val="8.8000000000000007"/>
        <color theme="0"/>
        <rFont val="Calibri"/>
        <family val="2"/>
      </rPr>
      <t>=</t>
    </r>
  </si>
  <si>
    <r>
      <t>V</t>
    </r>
    <r>
      <rPr>
        <vertAlign val="subscript"/>
        <sz val="11"/>
        <color theme="0"/>
        <rFont val="Calibri"/>
        <family val="2"/>
        <scheme val="minor"/>
      </rPr>
      <t>b,Rd</t>
    </r>
    <r>
      <rPr>
        <sz val="11"/>
        <color theme="0"/>
        <rFont val="Calibri"/>
        <family val="2"/>
        <scheme val="minor"/>
      </rPr>
      <t xml:space="preserve"> =</t>
    </r>
  </si>
  <si>
    <r>
      <t>h</t>
    </r>
    <r>
      <rPr>
        <sz val="9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/sin</t>
    </r>
    <r>
      <rPr>
        <sz val="11"/>
        <color theme="0"/>
        <rFont val="Calibri"/>
        <family val="2"/>
      </rPr>
      <t>ϕ</t>
    </r>
    <r>
      <rPr>
        <sz val="8.8000000000000007"/>
        <color theme="0"/>
        <rFont val="Calibri"/>
        <family val="2"/>
      </rPr>
      <t xml:space="preserve"> </t>
    </r>
    <r>
      <rPr>
        <sz val="11"/>
        <color theme="0"/>
        <rFont val="Calibri"/>
        <family val="2"/>
      </rPr>
      <t>x t x fbv/γ</t>
    </r>
    <r>
      <rPr>
        <vertAlign val="subscript"/>
        <sz val="8"/>
        <color theme="0"/>
        <rFont val="Calibri"/>
        <family val="2"/>
        <scheme val="minor"/>
      </rPr>
      <t xml:space="preserve">M1 </t>
    </r>
    <r>
      <rPr>
        <sz val="11"/>
        <color theme="0"/>
        <rFont val="Calibri"/>
        <family val="2"/>
      </rPr>
      <t xml:space="preserve"> =</t>
    </r>
  </si>
  <si>
    <r>
      <t>hw/sin</t>
    </r>
    <r>
      <rPr>
        <sz val="10"/>
        <color theme="0"/>
        <rFont val="Calibri"/>
        <family val="2"/>
      </rPr>
      <t>ϕ x t x fbv/γ</t>
    </r>
    <r>
      <rPr>
        <vertAlign val="subscript"/>
        <sz val="10"/>
        <color theme="0"/>
        <rFont val="Calibri"/>
        <family val="2"/>
        <scheme val="minor"/>
      </rPr>
      <t xml:space="preserve">M1 </t>
    </r>
    <r>
      <rPr>
        <sz val="10"/>
        <color theme="0"/>
        <rFont val="Calibri"/>
        <family val="2"/>
      </rPr>
      <t>=</t>
    </r>
  </si>
  <si>
    <r>
      <t>V</t>
    </r>
    <r>
      <rPr>
        <vertAlign val="subscript"/>
        <sz val="11"/>
        <color theme="0"/>
        <rFont val="Calibri"/>
        <family val="2"/>
        <scheme val="minor"/>
      </rPr>
      <t>wRd</t>
    </r>
    <r>
      <rPr>
        <sz val="11"/>
        <color theme="0"/>
        <rFont val="Calibri"/>
        <family val="2"/>
        <scheme val="minor"/>
      </rPr>
      <t xml:space="preserve"> = min од </t>
    </r>
  </si>
  <si>
    <r>
      <t>V</t>
    </r>
    <r>
      <rPr>
        <vertAlign val="subscript"/>
        <sz val="11"/>
        <color theme="0"/>
        <rFont val="Calibri"/>
        <family val="2"/>
        <scheme val="minor"/>
      </rPr>
      <t>pl,Rd</t>
    </r>
    <r>
      <rPr>
        <sz val="11"/>
        <color theme="0"/>
        <rFont val="Calibri"/>
        <family val="2"/>
        <scheme val="minor"/>
      </rPr>
      <t xml:space="preserve">  и    V</t>
    </r>
    <r>
      <rPr>
        <vertAlign val="subscript"/>
        <sz val="11"/>
        <color theme="0"/>
        <rFont val="Calibri"/>
        <family val="2"/>
        <scheme val="minor"/>
      </rPr>
      <t xml:space="preserve">b,Rd </t>
    </r>
  </si>
  <si>
    <r>
      <t>V</t>
    </r>
    <r>
      <rPr>
        <vertAlign val="subscript"/>
        <sz val="11"/>
        <color theme="0"/>
        <rFont val="Calibri"/>
        <family val="2"/>
        <scheme val="minor"/>
      </rPr>
      <t>wRd</t>
    </r>
    <r>
      <rPr>
        <sz val="11"/>
        <color theme="0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</si>
  <si>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0"/>
        <rFont val="Calibri"/>
        <family val="2"/>
        <scheme val="minor"/>
      </rPr>
      <t>R,d</t>
    </r>
    <r>
      <rPr>
        <sz val="11"/>
        <color theme="0"/>
        <rFont val="Calibri"/>
        <family val="2"/>
        <scheme val="minor"/>
      </rPr>
      <t xml:space="preserve"> =</t>
    </r>
  </si>
  <si>
    <r>
      <t>Vmin x sin</t>
    </r>
    <r>
      <rPr>
        <sz val="11"/>
        <color theme="0"/>
        <rFont val="Calibri"/>
        <family val="2"/>
      </rPr>
      <t>ϕ</t>
    </r>
    <r>
      <rPr>
        <sz val="8.8000000000000007"/>
        <color theme="0"/>
        <rFont val="Calibri"/>
        <family val="2"/>
      </rPr>
      <t xml:space="preserve">  </t>
    </r>
    <r>
      <rPr>
        <sz val="10"/>
        <color theme="0"/>
        <rFont val="Calibri"/>
        <family val="2"/>
      </rPr>
      <t xml:space="preserve">x </t>
    </r>
    <r>
      <rPr>
        <sz val="11"/>
        <color theme="0"/>
        <rFont val="Calibri"/>
        <family val="2"/>
      </rPr>
      <t>1000 /n x 2 =</t>
    </r>
  </si>
  <si>
    <r>
      <t>γ</t>
    </r>
    <r>
      <rPr>
        <vertAlign val="subscript"/>
        <sz val="11"/>
        <color theme="0"/>
        <rFont val="Calibri"/>
        <family val="2"/>
        <scheme val="minor"/>
      </rPr>
      <t>m</t>
    </r>
    <r>
      <rPr>
        <sz val="11"/>
        <color theme="0"/>
        <rFont val="Calibri"/>
        <family val="2"/>
        <scheme val="minor"/>
      </rPr>
      <t xml:space="preserve"> = </t>
    </r>
  </si>
  <si>
    <r>
      <t>R</t>
    </r>
    <r>
      <rPr>
        <vertAlign val="subscript"/>
        <sz val="11"/>
        <color theme="0"/>
        <rFont val="Calibri"/>
        <family val="2"/>
        <scheme val="minor"/>
      </rPr>
      <t>w,Rd</t>
    </r>
    <r>
      <rPr>
        <sz val="11"/>
        <color theme="0"/>
        <rFont val="Calibri"/>
        <family val="2"/>
        <scheme val="minor"/>
      </rPr>
      <t xml:space="preserve"> =</t>
    </r>
  </si>
  <si>
    <r>
      <t>α t² Ѵ(fyb x E) x (1-0,1 x Ѵ(r/t)) x (0,5 + Ѵ(0,02 la/t) x (2,4+(ϕ/90)²)/γ</t>
    </r>
    <r>
      <rPr>
        <sz val="8"/>
        <color theme="0"/>
        <rFont val="Calibri"/>
        <family val="2"/>
      </rPr>
      <t>m1</t>
    </r>
  </si>
  <si>
    <r>
      <t>α</t>
    </r>
    <r>
      <rPr>
        <sz val="8.8000000000000007"/>
        <color theme="0"/>
        <rFont val="Calibri"/>
        <family val="2"/>
      </rPr>
      <t xml:space="preserve"> =</t>
    </r>
  </si>
  <si>
    <r>
      <t>α</t>
    </r>
    <r>
      <rPr>
        <sz val="8.8000000000000007"/>
        <color theme="0"/>
        <rFont val="Calibri"/>
        <family val="2"/>
      </rPr>
      <t xml:space="preserve"> x</t>
    </r>
  </si>
  <si>
    <r>
      <t>R</t>
    </r>
    <r>
      <rPr>
        <vertAlign val="subscript"/>
        <sz val="11"/>
        <color theme="0"/>
        <rFont val="Calibri"/>
        <family val="2"/>
        <scheme val="minor"/>
      </rPr>
      <t>w,Rd,1</t>
    </r>
    <r>
      <rPr>
        <sz val="11"/>
        <color theme="0"/>
        <rFont val="Calibri"/>
        <family val="2"/>
        <scheme val="minor"/>
      </rPr>
      <t xml:space="preserve"> =</t>
    </r>
  </si>
  <si>
    <r>
      <t>S</t>
    </r>
    <r>
      <rPr>
        <sz val="9"/>
        <color theme="0"/>
        <rFont val="Calibri"/>
        <family val="2"/>
      </rPr>
      <t>eff,3 = (1+0.5 x(ha+hsa)/ec)x Seff,o =</t>
    </r>
  </si>
  <si>
    <r>
      <t>R</t>
    </r>
    <r>
      <rPr>
        <vertAlign val="subscript"/>
        <sz val="11"/>
        <color theme="0"/>
        <rFont val="Calibri"/>
        <family val="2"/>
        <scheme val="minor"/>
      </rPr>
      <t>w,Rd,a</t>
    </r>
    <r>
      <rPr>
        <sz val="11"/>
        <color theme="0"/>
        <rFont val="Calibri"/>
        <family val="2"/>
        <scheme val="minor"/>
      </rPr>
      <t xml:space="preserve"> =</t>
    </r>
  </si>
  <si>
    <r>
      <t>Md</t>
    </r>
    <r>
      <rPr>
        <vertAlign val="superscript"/>
        <sz val="11"/>
        <color theme="0"/>
        <rFont val="Calibri"/>
        <family val="2"/>
      </rPr>
      <t>-</t>
    </r>
    <r>
      <rPr>
        <sz val="11"/>
        <color theme="0"/>
        <rFont val="Calibri"/>
        <family val="2"/>
      </rPr>
      <t>= fy x Weff / γm=</t>
    </r>
  </si>
  <si>
    <r>
      <t>SumS= Sw-(hw-ec)/sinρρ</t>
    </r>
    <r>
      <rPr>
        <sz val="9.9"/>
        <color theme="0"/>
        <rFont val="Calibri"/>
        <family val="2"/>
      </rPr>
      <t>-</t>
    </r>
    <r>
      <rPr>
        <sz val="11"/>
        <color theme="0"/>
        <rFont val="Calibri"/>
        <family val="2"/>
      </rPr>
      <t>hsa/sinρ</t>
    </r>
    <r>
      <rPr>
        <sz val="9.9"/>
        <color theme="0"/>
        <rFont val="Calibri"/>
        <family val="2"/>
      </rPr>
      <t xml:space="preserve"> + Ssa =</t>
    </r>
  </si>
  <si>
    <r>
      <t>γ</t>
    </r>
    <r>
      <rPr>
        <sz val="9.9"/>
        <color theme="0"/>
        <rFont val="Calibri"/>
        <family val="2"/>
      </rPr>
      <t xml:space="preserve">m1 = </t>
    </r>
  </si>
  <si>
    <r>
      <t>σ</t>
    </r>
    <r>
      <rPr>
        <vertAlign val="subscript"/>
        <sz val="8.8000000000000007"/>
        <color theme="0"/>
        <rFont val="Calibri"/>
        <family val="2"/>
      </rPr>
      <t xml:space="preserve">com,Ed,ser </t>
    </r>
    <r>
      <rPr>
        <sz val="8.8000000000000007"/>
        <color theme="0"/>
        <rFont val="Calibri"/>
        <family val="2"/>
      </rPr>
      <t>=</t>
    </r>
    <r>
      <rPr>
        <sz val="11"/>
        <color theme="0"/>
        <rFont val="Calibri"/>
        <family val="2"/>
      </rPr>
      <t xml:space="preserve"> fy/1,5 =</t>
    </r>
  </si>
  <si>
    <r>
      <t>k</t>
    </r>
    <r>
      <rPr>
        <sz val="11"/>
        <color theme="0"/>
        <rFont val="Calibri"/>
        <family val="2"/>
      </rPr>
      <t>σ</t>
    </r>
    <r>
      <rPr>
        <sz val="8.8000000000000007"/>
        <color theme="0"/>
        <rFont val="Calibri"/>
        <family val="2"/>
      </rPr>
      <t xml:space="preserve"> = </t>
    </r>
  </si>
  <si>
    <r>
      <t>k3 = 0,7+0,3(</t>
    </r>
    <r>
      <rPr>
        <sz val="11"/>
        <color theme="0"/>
        <rFont val="Calibri"/>
        <family val="2"/>
      </rPr>
      <t>ϕ</t>
    </r>
    <r>
      <rPr>
        <sz val="9.9"/>
        <color theme="0"/>
        <rFont val="Calibri"/>
        <family val="2"/>
      </rPr>
      <t>/90)² =</t>
    </r>
  </si>
  <si>
    <r>
      <t>Ss,</t>
    </r>
    <r>
      <rPr>
        <sz val="8"/>
        <color theme="0"/>
        <rFont val="Calibri"/>
        <family val="2"/>
        <scheme val="minor"/>
      </rPr>
      <t xml:space="preserve">A  </t>
    </r>
    <r>
      <rPr>
        <sz val="10"/>
        <color theme="0"/>
        <rFont val="Calibri"/>
        <family val="2"/>
        <scheme val="minor"/>
      </rPr>
      <t>= b</t>
    </r>
    <r>
      <rPr>
        <sz val="8"/>
        <color theme="0"/>
        <rFont val="Calibri"/>
        <family val="2"/>
        <scheme val="minor"/>
      </rPr>
      <t>A</t>
    </r>
  </si>
  <si>
    <r>
      <t>p,</t>
    </r>
    <r>
      <rPr>
        <sz val="8"/>
        <color theme="0"/>
        <rFont val="Calibri"/>
        <family val="2"/>
        <scheme val="minor"/>
      </rPr>
      <t>Mmax</t>
    </r>
    <r>
      <rPr>
        <sz val="11"/>
        <color theme="0"/>
        <rFont val="Calibri"/>
        <family val="2"/>
        <scheme val="minor"/>
      </rPr>
      <t xml:space="preserve"> =</t>
    </r>
  </si>
  <si>
    <r>
      <t>k,</t>
    </r>
    <r>
      <rPr>
        <sz val="9"/>
        <color theme="0"/>
        <rFont val="Calibri"/>
        <family val="2"/>
        <scheme val="minor"/>
      </rPr>
      <t>A</t>
    </r>
  </si>
  <si>
    <r>
      <t xml:space="preserve">Rwrd= </t>
    </r>
    <r>
      <rPr>
        <sz val="11"/>
        <color theme="0"/>
        <rFont val="Calibri"/>
        <family val="2"/>
      </rPr>
      <t>αt</t>
    </r>
    <r>
      <rPr>
        <vertAlign val="super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 xml:space="preserve"> * Ѵ</t>
    </r>
    <r>
      <rPr>
        <sz val="11"/>
        <color theme="0"/>
        <rFont val="Calibri"/>
        <family val="2"/>
        <scheme val="minor"/>
      </rPr>
      <t>(fyb * E)*(1-0,1</t>
    </r>
    <r>
      <rPr>
        <sz val="11"/>
        <color theme="0"/>
        <rFont val="Calibri"/>
        <family val="2"/>
      </rPr>
      <t>Ѵ</t>
    </r>
    <r>
      <rPr>
        <sz val="8.8000000000000007"/>
        <color theme="0"/>
        <rFont val="Calibri"/>
        <family val="2"/>
      </rPr>
      <t>(r/t) * (0,5+Ѵ</t>
    </r>
    <r>
      <rPr>
        <sz val="11"/>
        <color theme="0"/>
        <rFont val="Calibri"/>
        <family val="2"/>
      </rPr>
      <t>(0,02*La/t) * (2,4+(ϕ</t>
    </r>
    <r>
      <rPr>
        <sz val="11"/>
        <color theme="0"/>
        <rFont val="Calibri"/>
        <family val="2"/>
        <scheme val="minor"/>
      </rPr>
      <t>/90)</t>
    </r>
    <r>
      <rPr>
        <vertAlign val="superscript"/>
        <sz val="11"/>
        <color theme="0"/>
        <rFont val="Calibri"/>
        <family val="2"/>
        <scheme val="minor"/>
      </rPr>
      <t xml:space="preserve">2 </t>
    </r>
    <r>
      <rPr>
        <sz val="11"/>
        <color theme="0"/>
        <rFont val="Calibri"/>
        <family val="2"/>
        <scheme val="minor"/>
      </rPr>
      <t>/</t>
    </r>
    <r>
      <rPr>
        <sz val="11"/>
        <color theme="0"/>
        <rFont val="Calibri"/>
        <family val="2"/>
      </rPr>
      <t>γ</t>
    </r>
    <r>
      <rPr>
        <sz val="8.8000000000000007"/>
        <color theme="0"/>
        <rFont val="Calibri"/>
        <family val="2"/>
      </rPr>
      <t>m1</t>
    </r>
  </si>
  <si>
    <r>
      <rPr>
        <sz val="11"/>
        <color theme="0"/>
        <rFont val="Calibri"/>
        <family val="2"/>
      </rPr>
      <t>Ѵ(0,02La/t)</t>
    </r>
    <r>
      <rPr>
        <sz val="8.8000000000000007"/>
        <color theme="0"/>
        <rFont val="Calibri"/>
        <family val="2"/>
      </rPr>
      <t>=</t>
    </r>
    <r>
      <rPr>
        <sz val="11"/>
        <color theme="0"/>
        <rFont val="Calibri"/>
        <family val="2"/>
        <scheme val="minor"/>
      </rPr>
      <t xml:space="preserve"> (R1*γm1/( </t>
    </r>
    <r>
      <rPr>
        <sz val="11"/>
        <color theme="0"/>
        <rFont val="Calibri"/>
        <family val="2"/>
      </rPr>
      <t>αt</t>
    </r>
    <r>
      <rPr>
        <vertAlign val="super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 xml:space="preserve"> * Ѵ</t>
    </r>
    <r>
      <rPr>
        <sz val="11"/>
        <color theme="0"/>
        <rFont val="Calibri"/>
        <family val="2"/>
        <scheme val="minor"/>
      </rPr>
      <t>(fyb * E)*(1-0,1</t>
    </r>
    <r>
      <rPr>
        <sz val="11"/>
        <color theme="0"/>
        <rFont val="Calibri"/>
        <family val="2"/>
      </rPr>
      <t>Ѵ(r/t)</t>
    </r>
    <r>
      <rPr>
        <sz val="8.8000000000000007"/>
        <color theme="0"/>
        <rFont val="Calibri"/>
        <family val="2"/>
      </rPr>
      <t xml:space="preserve"> * </t>
    </r>
    <r>
      <rPr>
        <sz val="11"/>
        <color theme="0"/>
        <rFont val="Calibri"/>
        <family val="2"/>
      </rPr>
      <t xml:space="preserve"> (2,4+(ϕ</t>
    </r>
    <r>
      <rPr>
        <sz val="11"/>
        <color theme="0"/>
        <rFont val="Calibri"/>
        <family val="2"/>
        <scheme val="minor"/>
      </rPr>
      <t>/90)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)))-0,5=</t>
    </r>
  </si>
  <si>
    <r>
      <t>α</t>
    </r>
    <r>
      <rPr>
        <sz val="8.8000000000000007"/>
        <color theme="0"/>
        <rFont val="Calibri"/>
        <family val="2"/>
      </rPr>
      <t>i</t>
    </r>
    <r>
      <rPr>
        <sz val="11"/>
        <color theme="0"/>
        <rFont val="Calibri"/>
        <family val="2"/>
      </rPr>
      <t xml:space="preserve"> =</t>
    </r>
  </si>
  <si>
    <r>
      <rPr>
        <sz val="11"/>
        <color theme="0"/>
        <rFont val="Calibri"/>
        <family val="2"/>
      </rPr>
      <t>Ѵ(0,02La/t)</t>
    </r>
    <r>
      <rPr>
        <sz val="8.8000000000000007"/>
        <color theme="0"/>
        <rFont val="Calibri"/>
        <family val="2"/>
      </rPr>
      <t>=</t>
    </r>
    <r>
      <rPr>
        <sz val="11"/>
        <color theme="1"/>
        <rFont val="Calibri"/>
        <family val="2"/>
        <scheme val="minor"/>
      </rPr>
      <t/>
    </r>
  </si>
  <si>
    <r>
      <t>Q = Md/(</t>
    </r>
    <r>
      <rPr>
        <sz val="11"/>
        <color theme="0"/>
        <rFont val="Calibri"/>
        <family val="2"/>
      </rPr>
      <t>γ</t>
    </r>
    <r>
      <rPr>
        <sz val="11"/>
        <color theme="0"/>
        <rFont val="Calibri"/>
        <family val="2"/>
        <scheme val="minor"/>
      </rPr>
      <t xml:space="preserve">* k*L2)  </t>
    </r>
  </si>
  <si>
    <r>
      <t>γ</t>
    </r>
    <r>
      <rPr>
        <sz val="8.8000000000000007"/>
        <color theme="0"/>
        <rFont val="Calibri"/>
        <family val="2"/>
      </rPr>
      <t xml:space="preserve"> =</t>
    </r>
  </si>
  <si>
    <r>
      <t>p</t>
    </r>
    <r>
      <rPr>
        <vertAlign val="subscript"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>, max</t>
    </r>
  </si>
  <si>
    <r>
      <t>α</t>
    </r>
    <r>
      <rPr>
        <sz val="8.8000000000000007"/>
        <color theme="0"/>
        <rFont val="Calibri"/>
        <family val="2"/>
      </rPr>
      <t>iA</t>
    </r>
    <r>
      <rPr>
        <sz val="11"/>
        <color theme="0"/>
        <rFont val="Calibri"/>
        <family val="2"/>
      </rPr>
      <t xml:space="preserve"> =</t>
    </r>
  </si>
  <si>
    <r>
      <t>α</t>
    </r>
    <r>
      <rPr>
        <sz val="8.8000000000000007"/>
        <color theme="0"/>
        <rFont val="Calibri"/>
        <family val="2"/>
      </rPr>
      <t>iu</t>
    </r>
    <r>
      <rPr>
        <sz val="11"/>
        <color theme="0"/>
        <rFont val="Calibri"/>
        <family val="2"/>
      </rPr>
      <t xml:space="preserve"> =</t>
    </r>
  </si>
  <si>
    <t>Kvalitet čelika:</t>
  </si>
  <si>
    <t>Odaberite debljinu lima:</t>
  </si>
  <si>
    <t>Unesite raspon između rožnjača:</t>
  </si>
  <si>
    <t>Unesite broj polja:</t>
  </si>
  <si>
    <t>Unesite stalno opterećenje ukoliko postoji:</t>
  </si>
  <si>
    <t>Odaberite maksimalan ugib:</t>
  </si>
  <si>
    <t>Odaberite položaj lima:</t>
  </si>
  <si>
    <t>TR LIM 35/200</t>
  </si>
  <si>
    <t>PRORAČUN NOSIVOSTI URAĐEN PO EVROPSKOM STANDARDU EN 1993-1-3</t>
  </si>
  <si>
    <t xml:space="preserve">Nosivost TR lima prema momentima: </t>
  </si>
  <si>
    <t xml:space="preserve">Nosivost TR lima prema ugibima: </t>
  </si>
  <si>
    <t xml:space="preserve">Nosivost TR lima prema smičućim silama: </t>
  </si>
  <si>
    <t>Nosivost na "Crippling" rebra</t>
  </si>
  <si>
    <t xml:space="preserve">za širinu krajnjeg oslonca: </t>
  </si>
  <si>
    <t xml:space="preserve">za širinu unutrašnjeg oslonca: </t>
  </si>
  <si>
    <r>
      <t xml:space="preserve"> b</t>
    </r>
    <r>
      <rPr>
        <vertAlign val="subscript"/>
        <sz val="11"/>
        <color theme="4" tint="-0.249977111117893"/>
        <rFont val="Calibri"/>
        <family val="2"/>
        <scheme val="minor"/>
      </rPr>
      <t xml:space="preserve">A </t>
    </r>
    <r>
      <rPr>
        <sz val="11"/>
        <color theme="4" tint="-0.249977111117893"/>
        <rFont val="Calibri"/>
        <family val="2"/>
        <scheme val="minor"/>
      </rPr>
      <t>=</t>
    </r>
  </si>
  <si>
    <r>
      <t xml:space="preserve"> b</t>
    </r>
    <r>
      <rPr>
        <vertAlign val="subscript"/>
        <sz val="11"/>
        <color theme="4" tint="-0.249977111117893"/>
        <rFont val="Calibri"/>
        <family val="2"/>
        <scheme val="minor"/>
      </rPr>
      <t xml:space="preserve">u </t>
    </r>
    <r>
      <rPr>
        <sz val="11"/>
        <color theme="4" tint="-0.249977111117893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</si>
</sst>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8.8000000000000007"/>
      <color theme="0"/>
      <name val="Calibri"/>
      <family val="2"/>
    </font>
    <font>
      <sz val="10"/>
      <color theme="0"/>
      <name val="Calibri"/>
      <family val="2"/>
    </font>
    <font>
      <vertAlign val="subscript"/>
      <sz val="11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sz val="9.9"/>
      <color theme="0"/>
      <name val="Calibri"/>
      <family val="2"/>
      <scheme val="minor"/>
    </font>
    <font>
      <sz val="9.9"/>
      <color theme="0"/>
      <name val="Calibri"/>
      <family val="2"/>
    </font>
    <font>
      <sz val="8.9"/>
      <color theme="0"/>
      <name val="Calibri"/>
      <family val="2"/>
    </font>
    <font>
      <vertAlign val="superscript"/>
      <sz val="11"/>
      <color theme="0"/>
      <name val="Calibri"/>
      <family val="2"/>
    </font>
    <font>
      <vertAlign val="subscript"/>
      <sz val="11"/>
      <color theme="0"/>
      <name val="Calibri"/>
      <family val="2"/>
    </font>
    <font>
      <u/>
      <sz val="11"/>
      <color theme="0"/>
      <name val="Calibri"/>
      <family val="2"/>
      <scheme val="minor"/>
    </font>
    <font>
      <vertAlign val="subscript"/>
      <sz val="8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perscript"/>
      <sz val="8.8000000000000007"/>
      <color theme="0"/>
      <name val="Calibri"/>
      <family val="2"/>
    </font>
    <font>
      <vertAlign val="subscript"/>
      <sz val="10"/>
      <color theme="0"/>
      <name val="Calibri"/>
      <family val="2"/>
      <scheme val="minor"/>
    </font>
    <font>
      <sz val="8"/>
      <color theme="0"/>
      <name val="Calibri"/>
      <family val="2"/>
    </font>
    <font>
      <vertAlign val="subscript"/>
      <sz val="8.8000000000000007"/>
      <color theme="0"/>
      <name val="Calibri"/>
      <family val="2"/>
    </font>
    <font>
      <sz val="8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vertAlign val="subscript"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11" fontId="0" fillId="2" borderId="0" xfId="0" applyNumberFormat="1" applyFill="1" applyBorder="1" applyAlignment="1">
      <alignment horizontal="center"/>
    </xf>
    <xf numFmtId="0" fontId="36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33" fillId="2" borderId="0" xfId="0" applyFont="1" applyFill="1" applyBorder="1"/>
    <xf numFmtId="0" fontId="0" fillId="2" borderId="0" xfId="0" applyFill="1" applyBorder="1" applyAlignment="1">
      <alignment horizontal="center"/>
    </xf>
    <xf numFmtId="0" fontId="7" fillId="2" borderId="0" xfId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8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Border="1"/>
    <xf numFmtId="2" fontId="0" fillId="2" borderId="0" xfId="0" applyNumberFormat="1" applyFill="1" applyBorder="1" applyAlignment="1">
      <alignment horizontal="center"/>
    </xf>
    <xf numFmtId="2" fontId="8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49" fontId="13" fillId="2" borderId="0" xfId="1" applyNumberFormat="1" applyFont="1" applyFill="1" applyBorder="1"/>
    <xf numFmtId="0" fontId="2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3" fillId="2" borderId="0" xfId="0" applyFont="1" applyFill="1" applyBorder="1"/>
    <xf numFmtId="11" fontId="8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/>
    <xf numFmtId="2" fontId="11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164" fontId="8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1" fontId="8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49" fontId="11" fillId="2" borderId="0" xfId="0" applyNumberFormat="1" applyFont="1" applyFill="1" applyBorder="1"/>
    <xf numFmtId="0" fontId="8" fillId="2" borderId="0" xfId="0" applyFont="1" applyFill="1" applyBorder="1" applyAlignment="1"/>
    <xf numFmtId="2" fontId="8" fillId="2" borderId="0" xfId="0" applyNumberFormat="1" applyFont="1" applyFill="1" applyBorder="1" applyAlignment="1"/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3" fillId="2" borderId="0" xfId="0" applyFont="1" applyFill="1" applyBorder="1"/>
    <xf numFmtId="165" fontId="8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 applyAlignment="1"/>
    <xf numFmtId="1" fontId="8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66" fontId="8" fillId="2" borderId="0" xfId="0" applyNumberFormat="1" applyFont="1" applyFill="1" applyBorder="1"/>
    <xf numFmtId="0" fontId="30" fillId="2" borderId="0" xfId="0" applyFont="1" applyFill="1" applyBorder="1"/>
    <xf numFmtId="166" fontId="8" fillId="2" borderId="0" xfId="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horizontal="right"/>
    </xf>
    <xf numFmtId="0" fontId="34" fillId="2" borderId="0" xfId="0" applyFont="1" applyFill="1" applyBorder="1"/>
    <xf numFmtId="0" fontId="34" fillId="2" borderId="0" xfId="1" applyFont="1" applyFill="1" applyBorder="1"/>
    <xf numFmtId="0" fontId="37" fillId="2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37" fillId="4" borderId="0" xfId="0" applyFont="1" applyFill="1" applyBorder="1" applyAlignment="1">
      <alignment horizontal="right"/>
    </xf>
    <xf numFmtId="0" fontId="34" fillId="4" borderId="0" xfId="0" applyFont="1" applyFill="1" applyBorder="1"/>
    <xf numFmtId="0" fontId="0" fillId="4" borderId="0" xfId="0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2" fontId="0" fillId="4" borderId="0" xfId="0" applyNumberFormat="1" applyFill="1" applyBorder="1" applyAlignment="1">
      <alignment horizontal="center"/>
    </xf>
    <xf numFmtId="0" fontId="34" fillId="4" borderId="0" xfId="0" applyFont="1" applyFill="1" applyBorder="1" applyAlignment="1">
      <alignment horizontal="right"/>
    </xf>
    <xf numFmtId="2" fontId="34" fillId="4" borderId="0" xfId="0" applyNumberFormat="1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</cellXfs>
  <cellStyles count="2">
    <cellStyle name="Normal 2" xfId="1" xr:uid="{00000000-0005-0000-0000-000001000000}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2743200</xdr:colOff>
          <xdr:row>12</xdr:row>
          <xdr:rowOff>53340</xdr:rowOff>
        </xdr:from>
        <xdr:to>
          <xdr:col>2</xdr:col>
          <xdr:colOff>533400</xdr:colOff>
          <xdr:row>14</xdr:row>
          <xdr:rowOff>60960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12</xdr:row>
          <xdr:rowOff>53340</xdr:rowOff>
        </xdr:from>
        <xdr:to>
          <xdr:col>5</xdr:col>
          <xdr:colOff>678180</xdr:colOff>
          <xdr:row>14</xdr:row>
          <xdr:rowOff>160020</xdr:rowOff>
        </xdr:to>
        <xdr:sp macro="" textlink="">
          <xdr:nvSpPr>
            <xdr:cNvPr id="1091" name="Object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34"/>
  <sheetViews>
    <sheetView showGridLines="0" tabSelected="1" zoomScaleNormal="100" zoomScaleSheetLayoutView="100" workbookViewId="0">
      <selection activeCell="C5" sqref="C5"/>
    </sheetView>
  </sheetViews>
  <sheetFormatPr defaultRowHeight="14.4" x14ac:dyDescent="0.3"/>
  <cols>
    <col min="1" max="1" width="8.88671875" style="5"/>
    <col min="2" max="2" width="62" style="5" bestFit="1" customWidth="1"/>
    <col min="3" max="3" width="14.21875" style="7" bestFit="1" customWidth="1"/>
    <col min="4" max="4" width="8.88671875" style="5"/>
    <col min="5" max="5" width="9.109375" style="5" customWidth="1"/>
    <col min="6" max="6" width="10.109375" style="5" customWidth="1"/>
    <col min="7" max="7" width="11.44140625" style="5" customWidth="1"/>
    <col min="8" max="8" width="10.6640625" style="5" hidden="1" customWidth="1"/>
    <col min="9" max="9" width="0" style="5" hidden="1" customWidth="1"/>
    <col min="10" max="10" width="7.33203125" style="9" hidden="1" customWidth="1"/>
    <col min="11" max="13" width="0" style="9" hidden="1" customWidth="1"/>
    <col min="14" max="14" width="10.33203125" style="9" hidden="1" customWidth="1"/>
    <col min="15" max="15" width="12.5546875" style="9" hidden="1" customWidth="1"/>
    <col min="16" max="16" width="11.33203125" style="9" hidden="1" customWidth="1"/>
    <col min="17" max="17" width="9.6640625" style="9" hidden="1" customWidth="1"/>
    <col min="18" max="18" width="9.33203125" style="9" hidden="1" customWidth="1"/>
    <col min="19" max="19" width="0" style="9" hidden="1" customWidth="1"/>
    <col min="20" max="20" width="9.109375" style="9" hidden="1" customWidth="1"/>
    <col min="21" max="21" width="9.33203125" style="9" hidden="1" customWidth="1"/>
    <col min="22" max="23" width="0" style="9" hidden="1" customWidth="1"/>
    <col min="24" max="24" width="9.33203125" style="9" hidden="1" customWidth="1"/>
    <col min="25" max="25" width="10.44140625" style="9" hidden="1" customWidth="1"/>
    <col min="26" max="26" width="9.33203125" style="9" hidden="1" customWidth="1"/>
    <col min="27" max="32" width="0" style="9" hidden="1" customWidth="1"/>
    <col min="33" max="33" width="9" style="9" hidden="1" customWidth="1"/>
    <col min="34" max="34" width="8.5546875" style="9" hidden="1" customWidth="1"/>
    <col min="35" max="35" width="0" style="9" hidden="1" customWidth="1"/>
    <col min="36" max="36" width="11.44140625" style="9" hidden="1" customWidth="1"/>
    <col min="37" max="49" width="0" style="9" hidden="1" customWidth="1"/>
    <col min="50" max="16384" width="8.88671875" style="5"/>
  </cols>
  <sheetData>
    <row r="1" spans="2:21" x14ac:dyDescent="0.3">
      <c r="B1" s="6" t="s">
        <v>432</v>
      </c>
      <c r="J1" s="8"/>
    </row>
    <row r="2" spans="2:21" x14ac:dyDescent="0.3">
      <c r="J2" s="10" t="s">
        <v>148</v>
      </c>
      <c r="K2" s="9" t="s">
        <v>149</v>
      </c>
      <c r="N2" s="11" t="s">
        <v>24</v>
      </c>
      <c r="O2" s="3">
        <f>IF(C6=0.45,R21,IF(C6=0.5,R22,IF(C6=0.6,R23,IF(C6=0.7,R24,IF(C6=0.75,R25,IF(C6=0.88,R26,IF(C6=1,R27)))))))</f>
        <v>6.913102499999999</v>
      </c>
      <c r="P2" s="4" t="s">
        <v>150</v>
      </c>
      <c r="Q2" s="12"/>
      <c r="R2" s="11"/>
    </row>
    <row r="3" spans="2:21" ht="23.4" x14ac:dyDescent="0.45">
      <c r="B3" s="13" t="s">
        <v>431</v>
      </c>
      <c r="M3" s="11" t="s">
        <v>151</v>
      </c>
      <c r="N3" s="11" t="s">
        <v>152</v>
      </c>
      <c r="O3" s="3">
        <f>C10+O2</f>
        <v>6.913102499999999</v>
      </c>
      <c r="Q3" s="14"/>
      <c r="R3" s="12"/>
    </row>
    <row r="4" spans="2:21" ht="15.6" x14ac:dyDescent="0.3">
      <c r="B4" s="15"/>
      <c r="F4" s="15"/>
      <c r="J4" s="9">
        <f>IF(K2="Позитиван",1,2)</f>
        <v>1</v>
      </c>
      <c r="K4" s="9" t="s">
        <v>149</v>
      </c>
      <c r="N4" s="11" t="s">
        <v>153</v>
      </c>
      <c r="O4" s="3" t="e">
        <f>(O3+#REF!)/10</f>
        <v>#REF!</v>
      </c>
      <c r="P4" s="9" t="s">
        <v>154</v>
      </c>
      <c r="Q4" s="14"/>
      <c r="R4" s="16"/>
    </row>
    <row r="5" spans="2:21" ht="15.6" x14ac:dyDescent="0.3">
      <c r="B5" s="72" t="s">
        <v>424</v>
      </c>
      <c r="C5" s="88">
        <v>320</v>
      </c>
      <c r="D5" s="71" t="s">
        <v>4</v>
      </c>
      <c r="F5" s="18"/>
      <c r="K5" s="9" t="s">
        <v>155</v>
      </c>
      <c r="N5" s="11" t="s">
        <v>156</v>
      </c>
      <c r="O5" s="3" t="e">
        <f>(1.35*O3+1.5*#REF!)/100</f>
        <v>#REF!</v>
      </c>
      <c r="P5" s="9" t="s">
        <v>157</v>
      </c>
      <c r="Q5" s="19"/>
      <c r="R5" s="16"/>
    </row>
    <row r="6" spans="2:21" ht="15.6" x14ac:dyDescent="0.3">
      <c r="B6" s="72" t="s">
        <v>425</v>
      </c>
      <c r="C6" s="88">
        <v>0.75</v>
      </c>
      <c r="D6" s="70" t="s">
        <v>0</v>
      </c>
      <c r="F6" s="20"/>
      <c r="N6" s="11" t="s">
        <v>158</v>
      </c>
      <c r="O6" s="3">
        <f>C8*100</f>
        <v>400</v>
      </c>
      <c r="P6" s="9" t="s">
        <v>159</v>
      </c>
      <c r="Q6" s="14"/>
      <c r="R6" s="16"/>
    </row>
    <row r="7" spans="2:21" ht="15.6" x14ac:dyDescent="0.3">
      <c r="B7" s="17"/>
      <c r="C7" s="1"/>
      <c r="K7" s="11" t="s">
        <v>161</v>
      </c>
      <c r="L7" s="11" t="s">
        <v>162</v>
      </c>
      <c r="O7" s="21"/>
      <c r="P7" s="12"/>
      <c r="Q7" s="14"/>
      <c r="R7" s="16"/>
    </row>
    <row r="8" spans="2:21" ht="15.6" x14ac:dyDescent="0.3">
      <c r="B8" s="72" t="s">
        <v>426</v>
      </c>
      <c r="C8" s="89">
        <v>4</v>
      </c>
      <c r="D8" s="70" t="s">
        <v>71</v>
      </c>
      <c r="J8" s="9">
        <v>320</v>
      </c>
      <c r="K8" s="23">
        <f>IF(C5=320,L46,0)</f>
        <v>3.7465739070776127</v>
      </c>
      <c r="L8" s="3">
        <f>IF(C5=320,M46,0)</f>
        <v>1.677473161537147</v>
      </c>
      <c r="P8" s="3"/>
      <c r="R8" s="16"/>
    </row>
    <row r="9" spans="2:21" ht="15.6" x14ac:dyDescent="0.3">
      <c r="B9" s="72" t="s">
        <v>427</v>
      </c>
      <c r="C9" s="88">
        <v>3</v>
      </c>
      <c r="F9" s="15"/>
      <c r="J9" s="9">
        <v>280</v>
      </c>
      <c r="K9" s="23">
        <f>IF(C5=280,P46,0)</f>
        <v>0</v>
      </c>
      <c r="L9" s="3">
        <f>IF(C5=280,Q46,0)</f>
        <v>0</v>
      </c>
      <c r="P9" s="12"/>
      <c r="R9" s="16"/>
    </row>
    <row r="10" spans="2:21" x14ac:dyDescent="0.3">
      <c r="B10" s="2" t="s">
        <v>428</v>
      </c>
      <c r="C10" s="3">
        <v>0</v>
      </c>
      <c r="D10" s="4" t="s">
        <v>150</v>
      </c>
      <c r="P10" s="12" t="s">
        <v>135</v>
      </c>
      <c r="R10" s="16"/>
    </row>
    <row r="11" spans="2:21" ht="15.6" x14ac:dyDescent="0.3">
      <c r="B11" s="72" t="s">
        <v>429</v>
      </c>
      <c r="C11" s="88">
        <v>200</v>
      </c>
      <c r="E11" s="24"/>
      <c r="F11" s="24"/>
      <c r="I11" s="25"/>
      <c r="J11" s="23"/>
      <c r="L11" s="9" t="s">
        <v>164</v>
      </c>
      <c r="P11" s="14">
        <v>320</v>
      </c>
      <c r="R11" s="16"/>
    </row>
    <row r="12" spans="2:21" ht="15.6" x14ac:dyDescent="0.3">
      <c r="B12" s="72" t="s">
        <v>430</v>
      </c>
      <c r="C12" s="88" t="s">
        <v>149</v>
      </c>
      <c r="G12" s="24"/>
      <c r="H12" s="22"/>
      <c r="I12" s="25"/>
      <c r="J12" s="23"/>
      <c r="L12" s="11" t="s">
        <v>165</v>
      </c>
      <c r="M12" s="23">
        <f>IF(C5=320,K8,K9)</f>
        <v>3.7465739070776127</v>
      </c>
      <c r="N12" s="12" t="s">
        <v>22</v>
      </c>
      <c r="P12" s="14">
        <v>280</v>
      </c>
      <c r="Q12" s="12"/>
      <c r="R12" s="16"/>
      <c r="S12" s="12"/>
      <c r="T12" s="12"/>
      <c r="U12" s="12"/>
    </row>
    <row r="13" spans="2:21" x14ac:dyDescent="0.3">
      <c r="F13" s="24"/>
      <c r="G13" s="24"/>
      <c r="P13" s="12"/>
      <c r="Q13" s="12"/>
      <c r="R13" s="16"/>
      <c r="S13" s="12"/>
      <c r="T13" s="3"/>
      <c r="U13" s="3"/>
    </row>
    <row r="14" spans="2:21" x14ac:dyDescent="0.3">
      <c r="F14" s="24"/>
      <c r="L14" s="9" t="s">
        <v>166</v>
      </c>
      <c r="S14" s="12"/>
      <c r="U14" s="3"/>
    </row>
    <row r="15" spans="2:21" x14ac:dyDescent="0.3">
      <c r="F15" s="24"/>
      <c r="J15" s="26" t="s">
        <v>308</v>
      </c>
      <c r="K15" s="12">
        <v>1</v>
      </c>
      <c r="L15" s="11" t="s">
        <v>167</v>
      </c>
      <c r="M15" s="23">
        <f>IF(C5=320,L8,L9)</f>
        <v>1.677473161537147</v>
      </c>
      <c r="N15" s="12" t="s">
        <v>22</v>
      </c>
      <c r="S15" s="12"/>
      <c r="U15" s="3"/>
    </row>
    <row r="16" spans="2:21" x14ac:dyDescent="0.3">
      <c r="B16" s="73"/>
      <c r="C16" s="74"/>
      <c r="D16" s="75"/>
      <c r="E16" s="75"/>
      <c r="F16" s="75"/>
      <c r="S16" s="12"/>
      <c r="U16" s="3"/>
    </row>
    <row r="17" spans="2:21" ht="15.6" x14ac:dyDescent="0.3">
      <c r="B17" s="76" t="s">
        <v>433</v>
      </c>
      <c r="C17" s="87">
        <f>I64</f>
        <v>63.67292281404778</v>
      </c>
      <c r="D17" s="77" t="s">
        <v>245</v>
      </c>
      <c r="E17" s="75"/>
      <c r="F17" s="78"/>
      <c r="I17" s="7"/>
      <c r="K17" s="27" t="s">
        <v>168</v>
      </c>
      <c r="N17" s="12"/>
      <c r="S17" s="12"/>
      <c r="U17" s="3"/>
    </row>
    <row r="18" spans="2:21" ht="15.6" x14ac:dyDescent="0.35">
      <c r="B18" s="78"/>
      <c r="C18" s="74"/>
      <c r="D18" s="75"/>
      <c r="E18" s="75"/>
      <c r="F18" s="75"/>
      <c r="G18" s="7"/>
      <c r="H18" s="7"/>
      <c r="I18" s="7"/>
      <c r="K18" s="12" t="s">
        <v>169</v>
      </c>
      <c r="L18" s="12" t="s">
        <v>309</v>
      </c>
      <c r="M18" s="12" t="s">
        <v>170</v>
      </c>
      <c r="N18" s="12" t="s">
        <v>171</v>
      </c>
      <c r="S18" s="12"/>
      <c r="U18" s="3"/>
    </row>
    <row r="19" spans="2:21" ht="15.6" x14ac:dyDescent="0.3">
      <c r="B19" s="76" t="s">
        <v>434</v>
      </c>
      <c r="C19" s="87">
        <f>F75</f>
        <v>24.901295140027045</v>
      </c>
      <c r="D19" s="79" t="s">
        <v>150</v>
      </c>
      <c r="E19" s="75"/>
      <c r="F19" s="78"/>
      <c r="G19" s="7"/>
      <c r="H19" s="7"/>
      <c r="I19" s="7"/>
      <c r="K19" s="12" t="s">
        <v>172</v>
      </c>
      <c r="L19" s="12" t="s">
        <v>172</v>
      </c>
      <c r="M19" s="12" t="s">
        <v>23</v>
      </c>
      <c r="N19" s="12" t="s">
        <v>23</v>
      </c>
      <c r="S19" s="12"/>
      <c r="U19" s="3"/>
    </row>
    <row r="20" spans="2:21" ht="15" x14ac:dyDescent="0.3">
      <c r="B20" s="78"/>
      <c r="C20" s="80"/>
      <c r="D20" s="75"/>
      <c r="E20" s="78"/>
      <c r="F20" s="80"/>
      <c r="G20" s="22"/>
      <c r="H20" s="22"/>
      <c r="I20" s="22"/>
      <c r="K20" s="3" t="e">
        <f>IF($C$9=1,K25,IF($C$9=2,K26,IF($C$9=3,K27,IF($C$9=4,$K$28,IF($C$9=5,K29)))))</f>
        <v>#REF!</v>
      </c>
      <c r="L20" s="3" t="e">
        <f>IF($C$9=1,L25,IF($C$9=2,L26,IF($C$9=3,L27,IF($C$9=4,L28,IF($C$9=5,L29)))))</f>
        <v>#REF!</v>
      </c>
      <c r="M20" s="3" t="e">
        <f>IF($C$9=1,M25,IF($C$9=2,M26,IF($C$9=3,M27,IF($C$9=4,$M$28,IF($C$9=5,M29)))))</f>
        <v>#REF!</v>
      </c>
      <c r="N20" s="3" t="e">
        <f>IF($C$9=1,N25,IF($C$9=2,N26,IF($C$9=3,N27,IF($C$9=4,$N$28,IF($C$9=5,N29)))))</f>
        <v>#REF!</v>
      </c>
      <c r="O20" s="12"/>
      <c r="P20" s="12" t="s">
        <v>134</v>
      </c>
      <c r="Q20" s="12" t="s">
        <v>30</v>
      </c>
      <c r="R20" s="12" t="s">
        <v>310</v>
      </c>
    </row>
    <row r="21" spans="2:21" ht="15.6" x14ac:dyDescent="0.3">
      <c r="B21" s="76" t="s">
        <v>435</v>
      </c>
      <c r="C21" s="87">
        <f>AS200</f>
        <v>197.42125569275683</v>
      </c>
      <c r="D21" s="79" t="s">
        <v>150</v>
      </c>
      <c r="E21" s="75"/>
      <c r="F21" s="75"/>
      <c r="O21" s="12"/>
      <c r="P21" s="12">
        <v>0.45</v>
      </c>
      <c r="Q21" s="3">
        <f>M91/L55</f>
        <v>1.1741999999999999</v>
      </c>
      <c r="R21" s="3">
        <f>$Q$21*P21*7850/1000</f>
        <v>4.1478615000000003</v>
      </c>
    </row>
    <row r="22" spans="2:21" x14ac:dyDescent="0.3">
      <c r="B22" s="75"/>
      <c r="C22" s="74"/>
      <c r="D22" s="75"/>
      <c r="E22" s="81"/>
      <c r="F22" s="82"/>
      <c r="G22" s="70"/>
      <c r="O22" s="3"/>
      <c r="P22" s="12">
        <v>0.5</v>
      </c>
      <c r="Q22" s="3"/>
      <c r="R22" s="3">
        <f t="shared" ref="R22:R27" si="0">$Q$21*P22*7850/1000</f>
        <v>4.6087349999999994</v>
      </c>
    </row>
    <row r="23" spans="2:21" ht="16.2" x14ac:dyDescent="0.35">
      <c r="B23" s="86" t="s">
        <v>436</v>
      </c>
      <c r="C23" s="74"/>
      <c r="D23" s="75"/>
      <c r="E23" s="81" t="s">
        <v>298</v>
      </c>
      <c r="F23" s="83" t="s">
        <v>307</v>
      </c>
      <c r="G23" s="70"/>
      <c r="J23" s="9" t="s">
        <v>173</v>
      </c>
      <c r="K23" s="12" t="s">
        <v>169</v>
      </c>
      <c r="L23" s="12" t="s">
        <v>309</v>
      </c>
      <c r="M23" s="12" t="s">
        <v>170</v>
      </c>
      <c r="N23" s="12" t="s">
        <v>171</v>
      </c>
      <c r="O23" s="3"/>
      <c r="P23" s="12">
        <v>0.6</v>
      </c>
      <c r="Q23" s="3"/>
      <c r="R23" s="3">
        <f t="shared" si="0"/>
        <v>5.5304819999999992</v>
      </c>
    </row>
    <row r="24" spans="2:21" ht="15.6" x14ac:dyDescent="0.35">
      <c r="B24" s="84" t="s">
        <v>437</v>
      </c>
      <c r="C24" s="87">
        <f>G140</f>
        <v>766.32840356391205</v>
      </c>
      <c r="D24" s="79" t="s">
        <v>150</v>
      </c>
      <c r="E24" s="81" t="s">
        <v>439</v>
      </c>
      <c r="F24" s="85">
        <v>40</v>
      </c>
      <c r="G24" s="70"/>
      <c r="K24" s="12" t="s">
        <v>172</v>
      </c>
      <c r="L24" s="12" t="s">
        <v>172</v>
      </c>
      <c r="M24" s="12" t="s">
        <v>23</v>
      </c>
      <c r="N24" s="12" t="s">
        <v>23</v>
      </c>
      <c r="O24" s="3"/>
      <c r="P24" s="12">
        <v>0.7</v>
      </c>
      <c r="Q24" s="3"/>
      <c r="R24" s="3">
        <f t="shared" si="0"/>
        <v>6.4522289999999991</v>
      </c>
    </row>
    <row r="25" spans="2:21" ht="15.6" x14ac:dyDescent="0.35">
      <c r="B25" s="84" t="s">
        <v>438</v>
      </c>
      <c r="C25" s="87">
        <f>F140</f>
        <v>640.60371437175627</v>
      </c>
      <c r="D25" s="79" t="s">
        <v>150</v>
      </c>
      <c r="E25" s="81" t="s">
        <v>440</v>
      </c>
      <c r="F25" s="85">
        <v>60</v>
      </c>
      <c r="G25" s="70"/>
      <c r="J25" s="12">
        <v>1</v>
      </c>
      <c r="K25" s="3" t="e">
        <f>$O$5*$C$8/2</f>
        <v>#REF!</v>
      </c>
      <c r="L25" s="3" t="e">
        <f>$O$5*$C$8/2</f>
        <v>#REF!</v>
      </c>
      <c r="M25" s="3" t="e">
        <f>0.125*O5*C8^2</f>
        <v>#REF!</v>
      </c>
      <c r="N25" s="3">
        <v>0</v>
      </c>
      <c r="O25" s="3"/>
      <c r="P25" s="12">
        <v>0.75</v>
      </c>
      <c r="Q25" s="3"/>
      <c r="R25" s="3">
        <f t="shared" si="0"/>
        <v>6.913102499999999</v>
      </c>
    </row>
    <row r="26" spans="2:21" x14ac:dyDescent="0.3">
      <c r="B26" s="75"/>
      <c r="C26" s="74"/>
      <c r="D26" s="75"/>
      <c r="E26" s="77"/>
      <c r="F26" s="77"/>
      <c r="G26" s="69"/>
      <c r="J26" s="12">
        <v>2</v>
      </c>
      <c r="K26" s="3" t="e">
        <f>1.25*O5*C8</f>
        <v>#REF!</v>
      </c>
      <c r="L26" s="3" t="e">
        <f>0.375*$O$5*$C$8</f>
        <v>#REF!</v>
      </c>
      <c r="M26" s="3" t="e">
        <f>0.0703*O5*C8^2</f>
        <v>#REF!</v>
      </c>
      <c r="N26" s="3" t="e">
        <f>-0.125*O5*C8^2</f>
        <v>#REF!</v>
      </c>
      <c r="O26" s="3"/>
      <c r="P26" s="12">
        <v>0.88</v>
      </c>
      <c r="R26" s="3">
        <f t="shared" si="0"/>
        <v>8.1113736000000003</v>
      </c>
    </row>
    <row r="27" spans="2:21" x14ac:dyDescent="0.3">
      <c r="J27" s="12">
        <v>3</v>
      </c>
      <c r="K27" s="3" t="e">
        <f>1.1*O5*C8</f>
        <v>#REF!</v>
      </c>
      <c r="L27" s="3" t="e">
        <f>0.4*$O$5*$C$8</f>
        <v>#REF!</v>
      </c>
      <c r="M27" s="3" t="e">
        <f>0.08*O5*C8^2</f>
        <v>#REF!</v>
      </c>
      <c r="N27" s="3" t="e">
        <f>-0.1*O5*C8^2</f>
        <v>#REF!</v>
      </c>
      <c r="P27" s="12">
        <v>1</v>
      </c>
      <c r="R27" s="3">
        <f t="shared" si="0"/>
        <v>9.2174699999999987</v>
      </c>
    </row>
    <row r="28" spans="2:21" x14ac:dyDescent="0.3">
      <c r="G28" s="24"/>
      <c r="J28" s="12">
        <v>4</v>
      </c>
      <c r="K28" s="3" t="e">
        <f>1.143*O5*C8</f>
        <v>#REF!</v>
      </c>
      <c r="L28" s="3" t="e">
        <f>0.393*$O$5*$C$8</f>
        <v>#REF!</v>
      </c>
      <c r="M28" s="3" t="e">
        <f>0.0772*O5*C8^2</f>
        <v>#REF!</v>
      </c>
      <c r="N28" s="3" t="e">
        <f>-0.1071*O5*C8^2</f>
        <v>#REF!</v>
      </c>
      <c r="P28" s="3"/>
      <c r="R28" s="3"/>
    </row>
    <row r="29" spans="2:21" hidden="1" x14ac:dyDescent="0.3">
      <c r="J29" s="12">
        <v>5</v>
      </c>
      <c r="K29" s="3" t="e">
        <f>1.132*O5*C8</f>
        <v>#REF!</v>
      </c>
      <c r="L29" s="3" t="e">
        <f>0.395*$O$5*$C$8</f>
        <v>#REF!</v>
      </c>
      <c r="M29" s="3" t="e">
        <f>0.0779*O5*C8^2</f>
        <v>#REF!</v>
      </c>
      <c r="N29" s="3" t="e">
        <f>-0.1053*O5*C8^2</f>
        <v>#REF!</v>
      </c>
    </row>
    <row r="30" spans="2:21" hidden="1" x14ac:dyDescent="0.3">
      <c r="G30" s="24"/>
      <c r="K30" s="21"/>
      <c r="P30" s="12"/>
    </row>
    <row r="31" spans="2:21" hidden="1" x14ac:dyDescent="0.3">
      <c r="J31" s="9" t="e">
        <f>IF(#REF!="Позитиван",1,2)</f>
        <v>#REF!</v>
      </c>
      <c r="K31" s="29" t="s">
        <v>149</v>
      </c>
      <c r="L31" s="12"/>
      <c r="M31" s="12"/>
      <c r="N31" s="12"/>
      <c r="O31" s="12"/>
      <c r="P31" s="12"/>
      <c r="Q31" s="11"/>
    </row>
    <row r="32" spans="2:21" hidden="1" x14ac:dyDescent="0.3">
      <c r="K32" s="29" t="s">
        <v>155</v>
      </c>
      <c r="L32" s="12"/>
      <c r="M32" s="3"/>
      <c r="N32" s="3"/>
      <c r="O32" s="3"/>
      <c r="P32" s="3"/>
      <c r="Q32" s="3"/>
    </row>
    <row r="33" spans="2:18" hidden="1" x14ac:dyDescent="0.3">
      <c r="G33" s="24"/>
      <c r="L33" s="12"/>
      <c r="M33" s="3"/>
      <c r="N33" s="3"/>
      <c r="O33" s="3"/>
      <c r="P33" s="3"/>
      <c r="Q33" s="3"/>
    </row>
    <row r="34" spans="2:18" hidden="1" x14ac:dyDescent="0.3">
      <c r="G34" s="24"/>
      <c r="J34" s="12" t="s">
        <v>177</v>
      </c>
      <c r="K34" s="12" t="s">
        <v>178</v>
      </c>
      <c r="L34" s="12" t="s">
        <v>179</v>
      </c>
      <c r="M34" s="12" t="s">
        <v>180</v>
      </c>
      <c r="N34" s="12" t="s">
        <v>181</v>
      </c>
      <c r="O34" s="12" t="s">
        <v>182</v>
      </c>
      <c r="P34" s="12" t="s">
        <v>183</v>
      </c>
      <c r="Q34" s="3"/>
    </row>
    <row r="35" spans="2:18" hidden="1" x14ac:dyDescent="0.3">
      <c r="E35" s="30"/>
      <c r="F35" s="28"/>
      <c r="J35" s="3" t="b">
        <f>IF(C6=0.45,0.45,IF(C6=0.5,0.5,IF(C6=0.6,0.6,IF(C6=0.7,0.7,IF(6=0.75,0.75,IF(C6=0.88,0.88,IF(C6=1,1)))))))</f>
        <v>0</v>
      </c>
      <c r="K35" s="3">
        <f>IF(C6=0.45,Q95,IF(C6=0.5,Q95,IF(C6=0.6,Q95,IF(C6=0.7,Q95,IF(C6=0.75,Q95,IF(C6=0.88,Q95,IF(C6=1,Q95)))))))</f>
        <v>13.186310336133111</v>
      </c>
      <c r="L35" s="31" t="e">
        <f>5*O4*O6^4/(382*K35*K36)</f>
        <v>#REF!</v>
      </c>
      <c r="M35" s="31" t="e">
        <f>0.0054*O4*O6^4/(K35*K36)</f>
        <v>#REF!</v>
      </c>
      <c r="N35" s="31" t="e">
        <f>0.0068*O4*O6^4/(K35*K36)</f>
        <v>#REF!</v>
      </c>
      <c r="O35" s="31" t="e">
        <f>0.0065*O4*O6^4/(K35*K36)</f>
        <v>#REF!</v>
      </c>
      <c r="P35" s="31" t="e">
        <f>0.0065*O4*O6^4/(K35*K36)</f>
        <v>#REF!</v>
      </c>
      <c r="Q35" s="3"/>
    </row>
    <row r="36" spans="2:18" hidden="1" x14ac:dyDescent="0.3">
      <c r="F36" s="28"/>
      <c r="G36" s="7"/>
      <c r="J36" s="11" t="s">
        <v>160</v>
      </c>
      <c r="K36" s="31">
        <v>21000000</v>
      </c>
      <c r="P36" s="32"/>
      <c r="Q36" s="3"/>
    </row>
    <row r="37" spans="2:18" hidden="1" x14ac:dyDescent="0.3">
      <c r="F37" s="7"/>
      <c r="Q37" s="3"/>
    </row>
    <row r="38" spans="2:18" hidden="1" x14ac:dyDescent="0.3">
      <c r="E38" s="24"/>
      <c r="F38" s="22"/>
      <c r="J38" s="12" t="s">
        <v>185</v>
      </c>
      <c r="K38" s="12" t="s">
        <v>177</v>
      </c>
      <c r="L38" s="12" t="s">
        <v>186</v>
      </c>
      <c r="M38" s="12" t="s">
        <v>187</v>
      </c>
      <c r="N38" s="12" t="s">
        <v>188</v>
      </c>
      <c r="O38" s="12" t="s">
        <v>177</v>
      </c>
      <c r="P38" s="12" t="s">
        <v>186</v>
      </c>
      <c r="Q38" s="12" t="s">
        <v>187</v>
      </c>
    </row>
    <row r="39" spans="2:18" hidden="1" x14ac:dyDescent="0.3">
      <c r="E39" s="24"/>
      <c r="F39" s="22"/>
      <c r="G39" s="7"/>
      <c r="H39" s="25"/>
      <c r="K39" s="12">
        <v>0.45</v>
      </c>
      <c r="L39" s="32">
        <f>IF(AND($C$5=320,$C$6=0.45),N139,0)</f>
        <v>0</v>
      </c>
      <c r="M39" s="32">
        <f>IF(AND($C$5=320,$C$6=0.45),N208,0)</f>
        <v>0</v>
      </c>
      <c r="N39" s="12"/>
      <c r="O39" s="12">
        <v>0.45</v>
      </c>
      <c r="P39" s="32">
        <f>IF(AND($C$5=280,$C$6=0.45),N139,0)</f>
        <v>0</v>
      </c>
      <c r="Q39" s="32">
        <f>IF(AND($C$5=280,$C$6=0.45),N208,0)</f>
        <v>0</v>
      </c>
    </row>
    <row r="40" spans="2:18" hidden="1" x14ac:dyDescent="0.3">
      <c r="F40" s="7"/>
      <c r="K40" s="12">
        <v>0.5</v>
      </c>
      <c r="L40" s="32">
        <f>IF(AND($C$5=320,$C$6=0.5),N139,0)</f>
        <v>0</v>
      </c>
      <c r="M40" s="32">
        <f>IF(AND($C$5=320,$C$6=0.5),N208,0)</f>
        <v>0</v>
      </c>
      <c r="N40" s="12"/>
      <c r="O40" s="12">
        <v>0.5</v>
      </c>
      <c r="P40" s="32">
        <f>IF(AND($C$5=280,$C$6=0.5),N139,0)</f>
        <v>0</v>
      </c>
      <c r="Q40" s="32">
        <f>IF(AND($C$5=280,$C$6=0.5),N208,0)</f>
        <v>0</v>
      </c>
    </row>
    <row r="41" spans="2:18" hidden="1" x14ac:dyDescent="0.3">
      <c r="E41" s="24"/>
      <c r="F41" s="22"/>
      <c r="K41" s="12">
        <v>0.6</v>
      </c>
      <c r="L41" s="32">
        <f>IF(AND($C$5=320,$C$6=0.6),N139,0)</f>
        <v>0</v>
      </c>
      <c r="M41" s="32">
        <f>IF(AND($C$5=320,$C$6=0.6),N208,0)</f>
        <v>0</v>
      </c>
      <c r="N41" s="12"/>
      <c r="O41" s="12">
        <v>0.6</v>
      </c>
      <c r="P41" s="32">
        <f>IF(AND($C$5=280,$C$6=0.6),N139,0)</f>
        <v>0</v>
      </c>
      <c r="Q41" s="32">
        <f>IF(AND($C$5=280,$C$6=0.6),N208,0)</f>
        <v>0</v>
      </c>
      <c r="R41" s="12"/>
    </row>
    <row r="42" spans="2:18" hidden="1" x14ac:dyDescent="0.3">
      <c r="E42" s="24"/>
      <c r="F42" s="22"/>
      <c r="G42" s="7"/>
      <c r="H42" s="25"/>
      <c r="K42" s="12">
        <v>0.7</v>
      </c>
      <c r="L42" s="32">
        <f>IF(AND($C$5=320,$C$6=0.7),N139,0)</f>
        <v>0</v>
      </c>
      <c r="M42" s="32">
        <f>IF(AND($C$5=320,$C$6=0.7),N208,0)</f>
        <v>0</v>
      </c>
      <c r="N42" s="12"/>
      <c r="O42" s="12">
        <v>0.7</v>
      </c>
      <c r="P42" s="32">
        <f>IF(AND($C$5=280,$C$6=0.7),N139,0)</f>
        <v>0</v>
      </c>
      <c r="Q42" s="32">
        <f>IF(AND($C$5=280,$C$6=0.7),N208,0)</f>
        <v>0</v>
      </c>
      <c r="R42" s="12"/>
    </row>
    <row r="43" spans="2:18" hidden="1" x14ac:dyDescent="0.3">
      <c r="K43" s="12">
        <v>0.75</v>
      </c>
      <c r="L43" s="32">
        <f>IF(AND($C$5=320,$C$6=0.75),N139,0)</f>
        <v>3.7465739070776127</v>
      </c>
      <c r="M43" s="32">
        <f>IF(AND($C$5=320,$C$6=0.75),N208,0)</f>
        <v>1.677473161537147</v>
      </c>
      <c r="N43" s="12"/>
      <c r="O43" s="12">
        <v>0.75</v>
      </c>
      <c r="P43" s="32">
        <f>IF(AND($C$5=280,$C$6=0.75),N139,0)</f>
        <v>0</v>
      </c>
      <c r="Q43" s="32">
        <f>IF(AND($C$5=280,$C$6=0.75),N208,0)</f>
        <v>0</v>
      </c>
      <c r="R43" s="12"/>
    </row>
    <row r="44" spans="2:18" s="9" customFormat="1" hidden="1" x14ac:dyDescent="0.3">
      <c r="C44" s="12"/>
      <c r="K44" s="12">
        <v>0.88</v>
      </c>
      <c r="L44" s="32">
        <f>IF(AND($C$5=320,$C$6=0.88),N139,0)</f>
        <v>0</v>
      </c>
      <c r="M44" s="32">
        <f>IF(AND($C$5=320,$C$6=0.88),N208,0)</f>
        <v>0</v>
      </c>
      <c r="O44" s="12">
        <v>0.88</v>
      </c>
      <c r="P44" s="32">
        <f>IF(AND($C$5=280,$C$6=0.88),N139,0)</f>
        <v>0</v>
      </c>
      <c r="Q44" s="32">
        <f>IF(AND($C$5=280,$C$6=0.88),N208,0)</f>
        <v>0</v>
      </c>
    </row>
    <row r="45" spans="2:18" s="9" customFormat="1" hidden="1" x14ac:dyDescent="0.3">
      <c r="C45" s="12"/>
      <c r="E45" s="11"/>
      <c r="F45" s="3"/>
      <c r="G45" s="12"/>
      <c r="H45" s="4"/>
      <c r="K45" s="12">
        <v>1</v>
      </c>
      <c r="L45" s="32">
        <f>IF(AND($C$5=320,$C$6=1),N139,0)</f>
        <v>0</v>
      </c>
      <c r="M45" s="32">
        <f>IF(AND($C$5=320,$C$6=1),N208,0)</f>
        <v>0</v>
      </c>
      <c r="O45" s="12">
        <v>1</v>
      </c>
      <c r="P45" s="32">
        <f>IF(AND($C$5=280,$C$6=1),N139,0)</f>
        <v>0</v>
      </c>
      <c r="Q45" s="32">
        <f>IF(AND($C$5=280,$C$6=1),N208,0)</f>
        <v>0</v>
      </c>
    </row>
    <row r="46" spans="2:18" s="9" customFormat="1" hidden="1" x14ac:dyDescent="0.3">
      <c r="C46" s="12"/>
      <c r="L46" s="32">
        <f>IF($C$6=0.45,L39,IF($C$6=0.5,L40,IF($C$6=0.6,L41,IF($C$6=0.7,L42,IF($C$6=0.75,L43,IF($C$6=0.88,L44,IF($C$6=1,L45)))))))</f>
        <v>3.7465739070776127</v>
      </c>
      <c r="M46" s="32">
        <f>IF($C$6=0.45,M39,IF($C$6=0.5,M40,IF($C$6=0.6,M41,IF($C$6=0.7,M42,IF($C$6=0.75,M43,IF($C$6=0.88,M44,IF($C$6=1,M45)))))))</f>
        <v>1.677473161537147</v>
      </c>
      <c r="P46" s="32">
        <f>IF($C$6=0.45,P39,IF($C$6=0.5,P40,IF($C$6=0.6,P41,IF($C$6=0.7,P42,IF($C$6=0.75,P43,IF($C$6=0.88,P44,IF($C$6=1,P45)))))))</f>
        <v>0</v>
      </c>
      <c r="Q46" s="32">
        <f>IF($C$6=0.45,Q39,IF($C$6=0.5,Q40,IF($C$6=0.6,Q41,IF($C$6=0.7,Q42,IF($C$6=0.75,Q43,IF($C$6=0.88,Q44,IF($C$6=1,Q45)))))))</f>
        <v>0</v>
      </c>
    </row>
    <row r="47" spans="2:18" s="9" customFormat="1" hidden="1" x14ac:dyDescent="0.3">
      <c r="C47" s="12"/>
    </row>
    <row r="48" spans="2:18" s="9" customFormat="1" hidden="1" x14ac:dyDescent="0.3">
      <c r="B48" s="12"/>
      <c r="C48" s="33"/>
      <c r="D48" s="3"/>
      <c r="E48" s="34"/>
      <c r="F48" s="34"/>
      <c r="G48" s="35"/>
      <c r="H48" s="34"/>
    </row>
    <row r="49" spans="1:50" s="9" customFormat="1" hidden="1" x14ac:dyDescent="0.3">
      <c r="B49" s="12"/>
      <c r="C49" s="33"/>
      <c r="D49" s="33"/>
      <c r="E49" s="34"/>
      <c r="F49" s="34"/>
      <c r="G49" s="35"/>
      <c r="H49" s="34"/>
    </row>
    <row r="50" spans="1:50" s="9" customFormat="1" hidden="1" x14ac:dyDescent="0.3">
      <c r="B50" s="12"/>
      <c r="C50" s="33"/>
      <c r="D50" s="3"/>
      <c r="E50" s="34"/>
      <c r="F50" s="34"/>
      <c r="G50" s="35"/>
      <c r="H50" s="34"/>
    </row>
    <row r="51" spans="1:50" s="9" customFormat="1" hidden="1" x14ac:dyDescent="0.3">
      <c r="A51" s="3"/>
      <c r="B51" s="9" t="s">
        <v>258</v>
      </c>
      <c r="C51" s="12"/>
    </row>
    <row r="52" spans="1:50" s="9" customFormat="1" hidden="1" x14ac:dyDescent="0.3">
      <c r="A52" s="12"/>
      <c r="B52" s="9" t="s">
        <v>259</v>
      </c>
      <c r="C52" s="12"/>
      <c r="G52" s="9" t="s">
        <v>260</v>
      </c>
      <c r="K52" s="36" t="s">
        <v>136</v>
      </c>
      <c r="N52" s="9" t="s">
        <v>147</v>
      </c>
      <c r="T52" s="36" t="s">
        <v>136</v>
      </c>
      <c r="AL52" s="36"/>
    </row>
    <row r="53" spans="1:50" s="9" customFormat="1" hidden="1" x14ac:dyDescent="0.3">
      <c r="A53" s="3"/>
      <c r="B53" s="9" t="s">
        <v>261</v>
      </c>
      <c r="C53" s="12"/>
      <c r="D53" s="9" t="s">
        <v>262</v>
      </c>
      <c r="G53" s="9" t="s">
        <v>263</v>
      </c>
      <c r="H53" s="12"/>
      <c r="I53" s="12"/>
    </row>
    <row r="54" spans="1:50" s="9" customFormat="1" hidden="1" x14ac:dyDescent="0.3">
      <c r="A54" s="3"/>
      <c r="B54" s="9" t="s">
        <v>264</v>
      </c>
      <c r="C54" s="12"/>
      <c r="D54" s="9" t="s">
        <v>265</v>
      </c>
      <c r="G54" s="9" t="s">
        <v>266</v>
      </c>
      <c r="H54" s="12"/>
      <c r="I54" s="12"/>
      <c r="K54" s="11" t="s">
        <v>311</v>
      </c>
      <c r="L54" s="12">
        <v>35</v>
      </c>
      <c r="N54" s="11" t="s">
        <v>312</v>
      </c>
      <c r="O54" s="12">
        <v>52.5</v>
      </c>
      <c r="Q54" s="11" t="s">
        <v>313</v>
      </c>
      <c r="R54" s="12">
        <v>22</v>
      </c>
      <c r="T54" s="11" t="s">
        <v>311</v>
      </c>
      <c r="U54" s="12">
        <v>35</v>
      </c>
      <c r="W54" s="11" t="s">
        <v>312</v>
      </c>
      <c r="X54" s="12">
        <v>52.5</v>
      </c>
      <c r="Z54" s="11" t="s">
        <v>313</v>
      </c>
      <c r="AA54" s="12">
        <v>22</v>
      </c>
      <c r="AL54" s="11"/>
      <c r="AM54" s="12"/>
      <c r="AO54" s="11"/>
      <c r="AP54" s="12"/>
      <c r="AR54" s="11"/>
      <c r="AS54" s="12"/>
    </row>
    <row r="55" spans="1:50" s="9" customFormat="1" hidden="1" x14ac:dyDescent="0.3">
      <c r="A55" s="3"/>
      <c r="C55" s="12"/>
      <c r="K55" s="11" t="s">
        <v>314</v>
      </c>
      <c r="L55" s="12">
        <v>200</v>
      </c>
      <c r="N55" s="11" t="s">
        <v>315</v>
      </c>
      <c r="O55" s="12">
        <v>0</v>
      </c>
      <c r="Q55" s="11" t="s">
        <v>316</v>
      </c>
      <c r="R55" s="12">
        <v>4</v>
      </c>
      <c r="T55" s="11" t="s">
        <v>314</v>
      </c>
      <c r="U55" s="12">
        <v>200</v>
      </c>
      <c r="W55" s="11" t="s">
        <v>315</v>
      </c>
      <c r="X55" s="12">
        <v>0</v>
      </c>
      <c r="Z55" s="11" t="s">
        <v>316</v>
      </c>
      <c r="AA55" s="12">
        <v>4</v>
      </c>
      <c r="AL55" s="11"/>
      <c r="AM55" s="12"/>
      <c r="AO55" s="11"/>
      <c r="AP55" s="12"/>
      <c r="AR55" s="11"/>
      <c r="AS55" s="12"/>
    </row>
    <row r="56" spans="1:50" s="9" customFormat="1" hidden="1" x14ac:dyDescent="0.3">
      <c r="A56" s="12"/>
      <c r="C56" s="12"/>
      <c r="K56" s="11" t="s">
        <v>317</v>
      </c>
      <c r="L56" s="12">
        <v>20</v>
      </c>
      <c r="N56" s="11" t="s">
        <v>318</v>
      </c>
      <c r="O56" s="12">
        <f>C6</f>
        <v>0.75</v>
      </c>
      <c r="Q56" s="11" t="s">
        <v>40</v>
      </c>
      <c r="R56" s="12">
        <v>2</v>
      </c>
      <c r="T56" s="11" t="s">
        <v>317</v>
      </c>
      <c r="U56" s="12">
        <v>20</v>
      </c>
      <c r="W56" s="11" t="s">
        <v>318</v>
      </c>
      <c r="X56" s="12">
        <v>0.75</v>
      </c>
      <c r="Z56" s="11" t="s">
        <v>40</v>
      </c>
      <c r="AA56" s="12">
        <v>2</v>
      </c>
      <c r="AE56" s="11"/>
      <c r="AF56" s="12"/>
      <c r="AL56" s="11"/>
      <c r="AM56" s="12"/>
      <c r="AO56" s="11"/>
      <c r="AP56" s="12"/>
      <c r="AR56" s="11"/>
      <c r="AS56" s="12"/>
      <c r="AW56" s="11"/>
      <c r="AX56" s="12"/>
    </row>
    <row r="57" spans="1:50" s="9" customFormat="1" hidden="1" x14ac:dyDescent="0.3">
      <c r="C57" s="12" t="s">
        <v>170</v>
      </c>
      <c r="D57" s="12" t="s">
        <v>171</v>
      </c>
      <c r="E57" s="9" t="s">
        <v>419</v>
      </c>
      <c r="H57" s="3"/>
      <c r="I57" s="3" t="s">
        <v>267</v>
      </c>
      <c r="K57" s="11" t="s">
        <v>319</v>
      </c>
      <c r="L57" s="12">
        <v>135</v>
      </c>
      <c r="N57" s="11" t="s">
        <v>320</v>
      </c>
      <c r="O57" s="12">
        <v>2</v>
      </c>
      <c r="Q57" s="11" t="s">
        <v>321</v>
      </c>
      <c r="R57" s="12">
        <v>1.5</v>
      </c>
      <c r="T57" s="11" t="s">
        <v>319</v>
      </c>
      <c r="U57" s="12">
        <v>135</v>
      </c>
      <c r="W57" s="11" t="s">
        <v>320</v>
      </c>
      <c r="X57" s="12">
        <v>2</v>
      </c>
      <c r="Z57" s="11" t="s">
        <v>321</v>
      </c>
      <c r="AA57" s="12">
        <v>1.5</v>
      </c>
      <c r="AL57" s="11"/>
      <c r="AM57" s="12"/>
      <c r="AO57" s="11"/>
      <c r="AP57" s="12"/>
      <c r="AR57" s="11"/>
      <c r="AS57" s="12"/>
    </row>
    <row r="58" spans="1:50" s="9" customFormat="1" hidden="1" x14ac:dyDescent="0.3">
      <c r="A58" s="12"/>
      <c r="B58" s="9" t="s">
        <v>173</v>
      </c>
      <c r="C58" s="12" t="s">
        <v>268</v>
      </c>
      <c r="D58" s="12" t="s">
        <v>268</v>
      </c>
      <c r="E58" s="12" t="s">
        <v>269</v>
      </c>
      <c r="F58" s="12" t="s">
        <v>270</v>
      </c>
      <c r="G58" s="12" t="s">
        <v>271</v>
      </c>
      <c r="H58" s="3" t="s">
        <v>272</v>
      </c>
      <c r="I58" s="3" t="s">
        <v>245</v>
      </c>
      <c r="K58" s="11" t="s">
        <v>322</v>
      </c>
      <c r="L58" s="12">
        <v>165</v>
      </c>
      <c r="Q58" s="11"/>
      <c r="T58" s="11" t="s">
        <v>322</v>
      </c>
      <c r="U58" s="12">
        <v>165</v>
      </c>
      <c r="AL58" s="11"/>
      <c r="AM58" s="12"/>
    </row>
    <row r="59" spans="1:50" s="9" customFormat="1" hidden="1" x14ac:dyDescent="0.3">
      <c r="B59" s="12">
        <v>1</v>
      </c>
      <c r="C59" s="37">
        <f>0.125</f>
        <v>0.125</v>
      </c>
      <c r="D59" s="37">
        <v>0</v>
      </c>
      <c r="E59" s="3">
        <f>$E$92/($B$94*C59*$C$8^2)</f>
        <v>1.8732869535388064</v>
      </c>
      <c r="G59" s="3">
        <f>(E59-$E$86)/1.5</f>
        <v>1.1866400465258709</v>
      </c>
      <c r="H59" s="3"/>
      <c r="I59" s="3">
        <f>MIN(G59:H59)*100</f>
        <v>118.66400465258708</v>
      </c>
      <c r="K59" s="4" t="s">
        <v>21</v>
      </c>
      <c r="N59" s="11" t="s">
        <v>2</v>
      </c>
      <c r="O59" s="9">
        <f>C5</f>
        <v>320</v>
      </c>
      <c r="P59" s="9" t="s">
        <v>4</v>
      </c>
      <c r="T59" s="4" t="s">
        <v>21</v>
      </c>
      <c r="W59" s="11" t="s">
        <v>2</v>
      </c>
      <c r="X59" s="9">
        <v>320</v>
      </c>
      <c r="Y59" s="9" t="s">
        <v>4</v>
      </c>
      <c r="AL59" s="4"/>
      <c r="AO59" s="11"/>
    </row>
    <row r="60" spans="1:50" s="9" customFormat="1" hidden="1" x14ac:dyDescent="0.3">
      <c r="B60" s="12">
        <v>2</v>
      </c>
      <c r="C60" s="37">
        <f>0.0703</f>
        <v>7.0300000000000001E-2</v>
      </c>
      <c r="D60" s="37">
        <f>-0.125</f>
        <v>-0.125</v>
      </c>
      <c r="E60" s="3">
        <f>$E$92/($B$94*C60*$C$8^2)</f>
        <v>3.3308800738598974</v>
      </c>
      <c r="F60" s="3">
        <f>$E$93/($B$94*ABS(D60)*$C$8*$C$8)</f>
        <v>0.83873658076857349</v>
      </c>
      <c r="G60" s="3">
        <f>(E60-$E$86)/1.5</f>
        <v>2.158368793406598</v>
      </c>
      <c r="H60" s="3">
        <f>(F60-$E$86)/1.5</f>
        <v>0.49693979801238236</v>
      </c>
      <c r="I60" s="3">
        <f>MIN(G60:H60)*100</f>
        <v>49.693979801238235</v>
      </c>
      <c r="N60" s="11" t="s">
        <v>3</v>
      </c>
      <c r="O60" s="9">
        <v>210000</v>
      </c>
      <c r="P60" s="9" t="s">
        <v>4</v>
      </c>
      <c r="W60" s="11" t="s">
        <v>3</v>
      </c>
      <c r="X60" s="9">
        <v>210000</v>
      </c>
      <c r="Y60" s="9" t="s">
        <v>4</v>
      </c>
      <c r="AO60" s="11"/>
    </row>
    <row r="61" spans="1:50" s="9" customFormat="1" hidden="1" x14ac:dyDescent="0.3">
      <c r="B61" s="12">
        <v>3</v>
      </c>
      <c r="C61" s="37">
        <f>0.08</f>
        <v>0.08</v>
      </c>
      <c r="D61" s="37">
        <f>-0.1</f>
        <v>-0.1</v>
      </c>
      <c r="E61" s="3">
        <f>$E$92/($B$94*C61*$C$8^2)</f>
        <v>2.9270108649043847</v>
      </c>
      <c r="F61" s="3">
        <f>$E$93/($B$94*ABS(D61)*$C$8*$C$8)</f>
        <v>1.0484207259607168</v>
      </c>
      <c r="G61" s="3">
        <f>(E61-$E$86)/1.5</f>
        <v>1.8891226541029231</v>
      </c>
      <c r="H61" s="3">
        <f>(F61-$E$86)/1.5</f>
        <v>0.63672922814047783</v>
      </c>
      <c r="I61" s="3">
        <f>MIN(G61:H61)*100</f>
        <v>63.67292281404778</v>
      </c>
      <c r="K61" s="4" t="s">
        <v>1</v>
      </c>
      <c r="T61" s="4" t="s">
        <v>1</v>
      </c>
      <c r="AL61" s="4"/>
    </row>
    <row r="62" spans="1:50" s="9" customFormat="1" hidden="1" x14ac:dyDescent="0.3">
      <c r="B62" s="12">
        <v>4</v>
      </c>
      <c r="C62" s="37">
        <f>0.0772</f>
        <v>7.7200000000000005E-2</v>
      </c>
      <c r="D62" s="37">
        <f>-0.1071</f>
        <v>-0.1071</v>
      </c>
      <c r="E62" s="3">
        <f>$E$92/($B$94*C62*$C$8^2)</f>
        <v>3.0331718807299324</v>
      </c>
      <c r="F62" s="3">
        <f>$E$93/($B$94*ABS(D62)*$C$8*$C$8)</f>
        <v>0.97891757792784018</v>
      </c>
      <c r="G62" s="3">
        <f>(E62-$E$86)/1.5</f>
        <v>1.9598966646532883</v>
      </c>
      <c r="H62" s="3">
        <f>(F62-$E$86)/1.5</f>
        <v>0.59039379611856013</v>
      </c>
      <c r="I62" s="3">
        <f>MIN(G62:H62)*100</f>
        <v>59.039379611856013</v>
      </c>
      <c r="K62" s="11" t="s">
        <v>323</v>
      </c>
      <c r="L62" s="12">
        <f>O57+O56/2</f>
        <v>2.375</v>
      </c>
      <c r="N62" s="11" t="s">
        <v>324</v>
      </c>
      <c r="O62" s="3">
        <f>L62*(TAN(L63/2)-SIN(L63/2))</f>
        <v>0.14916532648764097</v>
      </c>
      <c r="P62" s="9" t="s">
        <v>0</v>
      </c>
      <c r="Q62" s="11" t="s">
        <v>325</v>
      </c>
      <c r="R62" s="12">
        <f>R54-O56/2</f>
        <v>21.625</v>
      </c>
      <c r="T62" s="11" t="s">
        <v>323</v>
      </c>
      <c r="U62" s="12">
        <f>X57+X56/2</f>
        <v>2.375</v>
      </c>
      <c r="W62" s="11" t="s">
        <v>324</v>
      </c>
      <c r="X62" s="3">
        <f>U62*(TAN(U63/2)-SIN(U63/2))</f>
        <v>0.14916532648764097</v>
      </c>
      <c r="Y62" s="9" t="s">
        <v>0</v>
      </c>
      <c r="Z62" s="11" t="s">
        <v>325</v>
      </c>
      <c r="AA62" s="12">
        <f>AA54-X56/2</f>
        <v>21.625</v>
      </c>
      <c r="AL62" s="11"/>
      <c r="AM62" s="12"/>
      <c r="AO62" s="11"/>
      <c r="AP62" s="3"/>
      <c r="AR62" s="11"/>
      <c r="AS62" s="12"/>
    </row>
    <row r="63" spans="1:50" s="9" customFormat="1" hidden="1" x14ac:dyDescent="0.3">
      <c r="B63" s="12">
        <v>5</v>
      </c>
      <c r="C63" s="37">
        <f>0.0779</f>
        <v>7.7899999999999997E-2</v>
      </c>
      <c r="D63" s="37">
        <f>-0.1053</f>
        <v>-0.1053</v>
      </c>
      <c r="E63" s="3">
        <f>$E$92/($B$94*C63*$C$8^2)</f>
        <v>3.0059161642150296</v>
      </c>
      <c r="F63" s="3">
        <f>$E$93/($B$94*ABS(D63)*$C$8*$C$8)</f>
        <v>0.99565121173857252</v>
      </c>
      <c r="G63" s="3">
        <f>(E63-$E$86)/1.5</f>
        <v>1.9417261869766864</v>
      </c>
      <c r="H63" s="3">
        <f>(F63-$E$86)/1.5</f>
        <v>0.60154955199238169</v>
      </c>
      <c r="I63" s="3">
        <f>MIN(G63:H63)*100</f>
        <v>60.154955199238167</v>
      </c>
      <c r="K63" s="11" t="s">
        <v>326</v>
      </c>
      <c r="L63" s="32">
        <f>ATAN((2*(R54+O56/2)/(L58-L57)))</f>
        <v>0.98021972635797938</v>
      </c>
      <c r="N63" s="11" t="s">
        <v>327</v>
      </c>
      <c r="O63" s="3">
        <f>L57-2*O62</f>
        <v>134.7016693470247</v>
      </c>
      <c r="P63" s="9" t="s">
        <v>0</v>
      </c>
      <c r="Q63" s="11" t="s">
        <v>328</v>
      </c>
      <c r="R63" s="3">
        <f>R62/SIN(L63)</f>
        <v>26.034777264572686</v>
      </c>
      <c r="T63" s="11" t="s">
        <v>326</v>
      </c>
      <c r="U63" s="32">
        <f>ATAN((2*(AA54+X56/2)/(U58-U57)))</f>
        <v>0.98021972635797938</v>
      </c>
      <c r="W63" s="11" t="s">
        <v>327</v>
      </c>
      <c r="X63" s="3">
        <f>U57-2*X62</f>
        <v>134.7016693470247</v>
      </c>
      <c r="Y63" s="9" t="s">
        <v>0</v>
      </c>
      <c r="Z63" s="11" t="s">
        <v>328</v>
      </c>
      <c r="AA63" s="3">
        <f>AA62/SIN(U63)</f>
        <v>26.034777264572686</v>
      </c>
      <c r="AL63" s="11"/>
      <c r="AM63" s="32"/>
      <c r="AO63" s="11"/>
      <c r="AP63" s="3"/>
      <c r="AR63" s="11"/>
      <c r="AS63" s="3"/>
    </row>
    <row r="64" spans="1:50" s="9" customFormat="1" hidden="1" x14ac:dyDescent="0.3">
      <c r="C64" s="12"/>
      <c r="I64" s="3">
        <f>IF(C9=1,I59,IF(C9=2,I60,IF(C9=3,I61,IF(C9=4,I62,IF(C9=5,I63)))))</f>
        <v>63.67292281404778</v>
      </c>
      <c r="K64" s="11" t="s">
        <v>20</v>
      </c>
      <c r="L64" s="33">
        <f>L63*180/PI()</f>
        <v>56.162453315780674</v>
      </c>
      <c r="M64" s="29"/>
      <c r="N64" s="11" t="s">
        <v>28</v>
      </c>
      <c r="O64" s="3">
        <f>O54-O62</f>
        <v>52.35083467351236</v>
      </c>
      <c r="Q64" s="11" t="s">
        <v>329</v>
      </c>
      <c r="R64" s="3">
        <f>R56*SIN(L63)</f>
        <v>1.6612394859568571</v>
      </c>
      <c r="T64" s="11" t="s">
        <v>20</v>
      </c>
      <c r="U64" s="33">
        <f>U63*180/PI()</f>
        <v>56.162453315780674</v>
      </c>
      <c r="V64" s="29"/>
      <c r="W64" s="11" t="s">
        <v>28</v>
      </c>
      <c r="X64" s="3">
        <f>X54-X62</f>
        <v>52.35083467351236</v>
      </c>
      <c r="Z64" s="11" t="s">
        <v>329</v>
      </c>
      <c r="AA64" s="3">
        <f>AA56*SIN(U63)</f>
        <v>1.6612394859568571</v>
      </c>
      <c r="AL64" s="11"/>
      <c r="AM64" s="33"/>
      <c r="AN64" s="29"/>
      <c r="AO64" s="11"/>
      <c r="AP64" s="3"/>
      <c r="AR64" s="11"/>
      <c r="AS64" s="3"/>
    </row>
    <row r="65" spans="1:45" s="9" customFormat="1" hidden="1" x14ac:dyDescent="0.3">
      <c r="C65" s="12"/>
      <c r="G65" s="3"/>
      <c r="H65" s="23"/>
      <c r="I65" s="23"/>
      <c r="K65" s="11" t="s">
        <v>330</v>
      </c>
      <c r="L65" s="12">
        <f>L54-O56</f>
        <v>34.25</v>
      </c>
      <c r="N65" s="11" t="s">
        <v>331</v>
      </c>
      <c r="O65" s="3">
        <v>25</v>
      </c>
      <c r="P65" s="9" t="s">
        <v>0</v>
      </c>
      <c r="Q65" s="11" t="s">
        <v>332</v>
      </c>
      <c r="R65" s="3">
        <f>SQRT(R55*R55+R56*R56)</f>
        <v>4.4721359549995796</v>
      </c>
      <c r="T65" s="11" t="s">
        <v>330</v>
      </c>
      <c r="U65" s="12">
        <f>U54-X56</f>
        <v>34.25</v>
      </c>
      <c r="W65" s="11" t="s">
        <v>331</v>
      </c>
      <c r="X65" s="3">
        <f>(U57-2*X54-X55)/2</f>
        <v>15</v>
      </c>
      <c r="Y65" s="9" t="s">
        <v>0</v>
      </c>
      <c r="Z65" s="11" t="s">
        <v>332</v>
      </c>
      <c r="AA65" s="3">
        <f>SQRT(AA55*AA55+AA56*AA56)</f>
        <v>4.4721359549995796</v>
      </c>
      <c r="AL65" s="11"/>
      <c r="AM65" s="12"/>
      <c r="AO65" s="11"/>
      <c r="AP65" s="3"/>
      <c r="AR65" s="11"/>
      <c r="AS65" s="3"/>
    </row>
    <row r="66" spans="1:45" s="9" customFormat="1" hidden="1" x14ac:dyDescent="0.3">
      <c r="B66" s="9" t="s">
        <v>273</v>
      </c>
      <c r="C66" s="12"/>
      <c r="D66" s="38" t="s">
        <v>274</v>
      </c>
      <c r="E66" s="35"/>
      <c r="F66" s="12"/>
      <c r="H66" s="23"/>
      <c r="I66" s="23"/>
      <c r="K66" s="11" t="s">
        <v>333</v>
      </c>
      <c r="L66" s="12">
        <f>L65-R54-R55</f>
        <v>8.25</v>
      </c>
      <c r="N66" s="11" t="s">
        <v>334</v>
      </c>
      <c r="O66" s="3">
        <f>L65/SIN(L63)</f>
        <v>41.2342715057394</v>
      </c>
      <c r="P66" s="9" t="s">
        <v>0</v>
      </c>
      <c r="Q66" s="11" t="s">
        <v>335</v>
      </c>
      <c r="R66" s="3">
        <f>O65+2*R57*((SQRT(2)-1))</f>
        <v>26.242640687119284</v>
      </c>
      <c r="T66" s="11" t="s">
        <v>333</v>
      </c>
      <c r="U66" s="12">
        <f>U65-AA54-AA55</f>
        <v>8.25</v>
      </c>
      <c r="W66" s="11" t="s">
        <v>334</v>
      </c>
      <c r="X66" s="3">
        <f>U65/SIN(U63)</f>
        <v>41.2342715057394</v>
      </c>
      <c r="Y66" s="9" t="s">
        <v>0</v>
      </c>
      <c r="Z66" s="11" t="s">
        <v>335</v>
      </c>
      <c r="AA66" s="3">
        <f>X65+2*AA57*((SQRT(2)-1))</f>
        <v>16.242640687119284</v>
      </c>
      <c r="AL66" s="11"/>
      <c r="AM66" s="12"/>
      <c r="AO66" s="11"/>
      <c r="AP66" s="3"/>
      <c r="AR66" s="11"/>
      <c r="AS66" s="3"/>
    </row>
    <row r="67" spans="1:45" s="9" customFormat="1" hidden="1" x14ac:dyDescent="0.3">
      <c r="C67" s="12"/>
      <c r="E67" s="9" t="s">
        <v>275</v>
      </c>
      <c r="F67" s="3" t="s">
        <v>267</v>
      </c>
      <c r="G67" s="3"/>
      <c r="H67" s="23"/>
      <c r="I67" s="23"/>
      <c r="K67" s="4"/>
      <c r="M67" s="3"/>
      <c r="N67" s="3"/>
      <c r="P67" s="11"/>
      <c r="Q67" s="12"/>
      <c r="T67" s="4"/>
      <c r="V67" s="3"/>
      <c r="W67" s="3"/>
      <c r="Y67" s="11"/>
      <c r="Z67" s="11" t="s">
        <v>250</v>
      </c>
      <c r="AA67" s="3">
        <f>U66/SIN(U63)</f>
        <v>9.9323427714554757</v>
      </c>
      <c r="AL67" s="4"/>
      <c r="AN67" s="3"/>
      <c r="AO67" s="3"/>
      <c r="AQ67" s="11"/>
      <c r="AR67" s="12"/>
    </row>
    <row r="68" spans="1:45" s="9" customFormat="1" hidden="1" x14ac:dyDescent="0.3">
      <c r="C68" s="12" t="s">
        <v>173</v>
      </c>
      <c r="D68" s="32" t="s">
        <v>276</v>
      </c>
      <c r="E68" s="32" t="s">
        <v>245</v>
      </c>
      <c r="F68" s="3" t="s">
        <v>245</v>
      </c>
      <c r="G68" s="3"/>
      <c r="K68" s="4" t="s">
        <v>57</v>
      </c>
      <c r="T68" s="4" t="s">
        <v>57</v>
      </c>
      <c r="AL68" s="4"/>
    </row>
    <row r="69" spans="1:45" s="9" customFormat="1" hidden="1" x14ac:dyDescent="0.3">
      <c r="C69" s="12">
        <v>1</v>
      </c>
      <c r="D69" s="37">
        <f>5/384</f>
        <v>1.3020833333333334E-2</v>
      </c>
      <c r="E69" s="32">
        <f>10*$B$113*$B$112/($C$11*D69*$E$87^3)</f>
        <v>16.61475102352772</v>
      </c>
      <c r="F69" s="3">
        <f>(E69-$E$85*10)</f>
        <v>9.7016485235277212</v>
      </c>
      <c r="K69" s="9" t="s">
        <v>60</v>
      </c>
      <c r="M69" s="11" t="s">
        <v>20</v>
      </c>
      <c r="N69" s="33">
        <f>L64</f>
        <v>56.162453315780674</v>
      </c>
      <c r="O69" s="12" t="s">
        <v>59</v>
      </c>
      <c r="P69" s="12" t="s">
        <v>58</v>
      </c>
      <c r="T69" s="9" t="s">
        <v>60</v>
      </c>
      <c r="V69" s="11" t="s">
        <v>20</v>
      </c>
      <c r="W69" s="33">
        <f>U64</f>
        <v>56.162453315780674</v>
      </c>
      <c r="X69" s="12" t="s">
        <v>59</v>
      </c>
      <c r="Y69" s="12" t="s">
        <v>58</v>
      </c>
      <c r="AN69" s="11"/>
      <c r="AO69" s="33"/>
      <c r="AP69" s="12"/>
      <c r="AQ69" s="12"/>
    </row>
    <row r="70" spans="1:45" s="9" customFormat="1" hidden="1" x14ac:dyDescent="0.3">
      <c r="C70" s="12">
        <v>2</v>
      </c>
      <c r="D70" s="37">
        <v>5.4000000000000003E-3</v>
      </c>
      <c r="E70" s="32">
        <f>10*$B$113*$B$112/($C$11*D70*(100*$C$8)^3)</f>
        <v>40.062574805959976</v>
      </c>
      <c r="F70" s="3">
        <f t="shared" ref="F70:F73" si="1">(E70-$E$85*10)</f>
        <v>33.149472305959975</v>
      </c>
      <c r="G70" s="37"/>
      <c r="H70" s="12"/>
      <c r="I70" s="12"/>
      <c r="K70" s="9" t="s">
        <v>73</v>
      </c>
      <c r="M70" s="11" t="s">
        <v>61</v>
      </c>
      <c r="N70" s="3">
        <f>L65/O56</f>
        <v>45.666666666666664</v>
      </c>
      <c r="O70" s="12" t="s">
        <v>64</v>
      </c>
      <c r="P70" s="9" t="s">
        <v>336</v>
      </c>
      <c r="Q70" s="23">
        <f>500*SIN(L63)</f>
        <v>415.30987148921429</v>
      </c>
      <c r="T70" s="9" t="s">
        <v>73</v>
      </c>
      <c r="V70" s="11" t="s">
        <v>61</v>
      </c>
      <c r="W70" s="12">
        <f>U65/X56</f>
        <v>45.666666666666664</v>
      </c>
      <c r="X70" s="12" t="s">
        <v>64</v>
      </c>
      <c r="Y70" s="9" t="s">
        <v>336</v>
      </c>
      <c r="Z70" s="23">
        <f>500*SIN(U63)</f>
        <v>415.30987148921429</v>
      </c>
      <c r="AN70" s="11"/>
      <c r="AO70" s="12"/>
      <c r="AP70" s="12"/>
      <c r="AR70" s="23"/>
    </row>
    <row r="71" spans="1:45" s="9" customFormat="1" hidden="1" x14ac:dyDescent="0.3">
      <c r="C71" s="12">
        <v>3</v>
      </c>
      <c r="D71" s="37">
        <v>6.7999999999999996E-3</v>
      </c>
      <c r="E71" s="32">
        <f>10*$B$113*$B$112/($C$11*D71*(100*$C$8)^3)</f>
        <v>31.814397640027046</v>
      </c>
      <c r="F71" s="3">
        <f t="shared" si="1"/>
        <v>24.901295140027045</v>
      </c>
      <c r="H71" s="3"/>
      <c r="I71" s="3"/>
      <c r="K71" s="9" t="s">
        <v>62</v>
      </c>
      <c r="M71" s="11" t="s">
        <v>27</v>
      </c>
      <c r="N71" s="39">
        <f>O63/O56</f>
        <v>179.60222579603294</v>
      </c>
      <c r="O71" s="40" t="s">
        <v>63</v>
      </c>
      <c r="P71" s="9">
        <v>500</v>
      </c>
      <c r="T71" s="9" t="s">
        <v>62</v>
      </c>
      <c r="V71" s="11" t="s">
        <v>27</v>
      </c>
      <c r="W71" s="39">
        <f>X63/X56</f>
        <v>179.60222579603294</v>
      </c>
      <c r="X71" s="40" t="s">
        <v>63</v>
      </c>
      <c r="Y71" s="9">
        <v>500</v>
      </c>
      <c r="AN71" s="11"/>
      <c r="AO71" s="39"/>
      <c r="AP71" s="40"/>
    </row>
    <row r="72" spans="1:45" s="9" customFormat="1" hidden="1" x14ac:dyDescent="0.3">
      <c r="C72" s="12">
        <v>4</v>
      </c>
      <c r="D72" s="37">
        <v>6.4999999999999997E-3</v>
      </c>
      <c r="E72" s="32">
        <f>10*$B$113*$B$112/($C$11*D72*(100*$C$8)^3)</f>
        <v>33.282754454182133</v>
      </c>
      <c r="F72" s="3">
        <f t="shared" si="1"/>
        <v>26.369651954182132</v>
      </c>
      <c r="H72" s="3"/>
      <c r="I72" s="3"/>
      <c r="K72" s="9" t="s">
        <v>65</v>
      </c>
      <c r="T72" s="9" t="s">
        <v>65</v>
      </c>
    </row>
    <row r="73" spans="1:45" s="9" customFormat="1" hidden="1" x14ac:dyDescent="0.3">
      <c r="C73" s="12">
        <v>5</v>
      </c>
      <c r="D73" s="37">
        <v>6.4999999999999997E-3</v>
      </c>
      <c r="E73" s="32">
        <f>10*$B$113*$B$112/($C$11*D73*(100*$C$8)^3)</f>
        <v>33.282754454182133</v>
      </c>
      <c r="F73" s="3">
        <f t="shared" si="1"/>
        <v>26.369651954182132</v>
      </c>
      <c r="K73" s="11"/>
      <c r="M73" s="11" t="s">
        <v>74</v>
      </c>
      <c r="N73" s="12">
        <f>O57</f>
        <v>2</v>
      </c>
      <c r="O73" s="40" t="s">
        <v>66</v>
      </c>
      <c r="P73" s="9">
        <f>5*O56</f>
        <v>3.75</v>
      </c>
      <c r="Q73" s="9" t="s">
        <v>0</v>
      </c>
      <c r="T73" s="11"/>
      <c r="V73" s="11" t="s">
        <v>74</v>
      </c>
      <c r="W73" s="12">
        <f>X57</f>
        <v>2</v>
      </c>
      <c r="X73" s="40" t="s">
        <v>66</v>
      </c>
      <c r="Y73" s="9">
        <f>5*X56</f>
        <v>3.75</v>
      </c>
      <c r="Z73" s="9" t="s">
        <v>0</v>
      </c>
      <c r="AL73" s="11"/>
      <c r="AN73" s="11"/>
      <c r="AO73" s="12"/>
      <c r="AP73" s="40"/>
    </row>
    <row r="74" spans="1:45" s="9" customFormat="1" hidden="1" x14ac:dyDescent="0.3">
      <c r="C74" s="12"/>
      <c r="F74" s="3">
        <f>IF(C9=1,F69,IF(C9=2,F70,IF(C9=3,F71,IF(C9=4,F72,IF(C9=5,F73)))))</f>
        <v>24.901295140027045</v>
      </c>
      <c r="O74" s="40" t="s">
        <v>67</v>
      </c>
      <c r="P74" s="41">
        <f>0.1*O63</f>
        <v>13.470166934702471</v>
      </c>
      <c r="Q74" s="9" t="s">
        <v>0</v>
      </c>
      <c r="X74" s="40" t="s">
        <v>67</v>
      </c>
      <c r="Y74" s="41">
        <f>0.1*X63</f>
        <v>13.470166934702471</v>
      </c>
      <c r="Z74" s="9" t="s">
        <v>0</v>
      </c>
      <c r="AP74" s="40"/>
      <c r="AQ74" s="41"/>
    </row>
    <row r="75" spans="1:45" s="9" customFormat="1" hidden="1" x14ac:dyDescent="0.3">
      <c r="C75" s="12"/>
      <c r="F75" s="3">
        <f>IF(F74&lt;0,"Повећај пресек",IF(F74&gt;0,F74))</f>
        <v>24.901295140027045</v>
      </c>
      <c r="P75" s="11" t="s">
        <v>68</v>
      </c>
      <c r="Y75" s="11" t="s">
        <v>68</v>
      </c>
      <c r="AQ75" s="11"/>
    </row>
    <row r="76" spans="1:45" s="9" customFormat="1" hidden="1" x14ac:dyDescent="0.3">
      <c r="A76" s="10"/>
      <c r="C76" s="12"/>
      <c r="E76" s="12" t="s">
        <v>30</v>
      </c>
      <c r="G76" s="12" t="s">
        <v>25</v>
      </c>
      <c r="H76" s="12" t="s">
        <v>277</v>
      </c>
      <c r="I76" s="12"/>
      <c r="K76" s="4" t="s">
        <v>72</v>
      </c>
      <c r="T76" s="4" t="s">
        <v>72</v>
      </c>
      <c r="AL76" s="4"/>
    </row>
    <row r="77" spans="1:45" s="9" customFormat="1" hidden="1" x14ac:dyDescent="0.3">
      <c r="C77" s="12"/>
      <c r="E77" s="12">
        <v>150</v>
      </c>
      <c r="G77" s="12">
        <v>1</v>
      </c>
      <c r="H77" s="12">
        <v>320</v>
      </c>
      <c r="I77" s="3"/>
      <c r="M77" s="11" t="s">
        <v>27</v>
      </c>
      <c r="N77" s="39">
        <f>O63/O56</f>
        <v>179.60222579603294</v>
      </c>
      <c r="P77" s="11" t="s">
        <v>337</v>
      </c>
      <c r="Q77" s="41">
        <f>250*O66/O63</f>
        <v>76.528879904802352</v>
      </c>
      <c r="V77" s="11" t="s">
        <v>27</v>
      </c>
      <c r="W77" s="39">
        <f>X63/X56</f>
        <v>179.60222579603294</v>
      </c>
      <c r="Y77" s="11" t="s">
        <v>337</v>
      </c>
      <c r="Z77" s="41">
        <f>250*X66/X63</f>
        <v>76.528879904802352</v>
      </c>
      <c r="AN77" s="11"/>
      <c r="AO77" s="39"/>
      <c r="AQ77" s="11"/>
      <c r="AR77" s="41"/>
    </row>
    <row r="78" spans="1:45" s="9" customFormat="1" hidden="1" x14ac:dyDescent="0.3">
      <c r="C78" s="12"/>
      <c r="E78" s="12">
        <v>200</v>
      </c>
      <c r="G78" s="12">
        <v>2</v>
      </c>
      <c r="H78" s="12">
        <v>280</v>
      </c>
      <c r="I78" s="3"/>
      <c r="Q78" s="11" t="str">
        <f>IF(N77&gt;Q77,"Занемарује се ефекат извијања појаса","Додају се ребра за укрућење појаса")</f>
        <v>Занемарује се ефекат извијања појаса</v>
      </c>
      <c r="Z78" s="11" t="str">
        <f>IF(W77&gt;Z77,"Занемарује се ефекат извијања појаса","Додају се ребра за укрућење појаса")</f>
        <v>Занемарује се ефекат извијања појаса</v>
      </c>
      <c r="AR78" s="11"/>
    </row>
    <row r="79" spans="1:45" s="9" customFormat="1" hidden="1" x14ac:dyDescent="0.3">
      <c r="C79" s="12"/>
      <c r="E79" s="12">
        <v>300</v>
      </c>
      <c r="G79" s="12">
        <v>3</v>
      </c>
      <c r="I79" s="3"/>
      <c r="K79" s="9" t="s">
        <v>69</v>
      </c>
      <c r="N79" s="9" t="s">
        <v>338</v>
      </c>
      <c r="O79" s="3">
        <f>O63/2</f>
        <v>67.350834673512352</v>
      </c>
      <c r="Q79" s="11" t="s">
        <v>70</v>
      </c>
      <c r="R79" s="4">
        <f>1000*0.85*U85/50</f>
        <v>76.02631123499286</v>
      </c>
      <c r="T79" s="9" t="s">
        <v>69</v>
      </c>
      <c r="W79" s="9" t="s">
        <v>338</v>
      </c>
      <c r="X79" s="3">
        <f>X63/2</f>
        <v>67.350834673512352</v>
      </c>
      <c r="Z79" s="11" t="s">
        <v>70</v>
      </c>
      <c r="AA79" s="4">
        <f>1000*0.85*AD85/50</f>
        <v>0</v>
      </c>
      <c r="AP79" s="3"/>
      <c r="AR79" s="11"/>
      <c r="AS79" s="4"/>
    </row>
    <row r="80" spans="1:45" s="9" customFormat="1" hidden="1" x14ac:dyDescent="0.3">
      <c r="C80" s="12"/>
      <c r="E80" s="12">
        <v>400</v>
      </c>
      <c r="G80" s="12">
        <v>4</v>
      </c>
      <c r="I80" s="3"/>
      <c r="Q80" s="11" t="s">
        <v>76</v>
      </c>
      <c r="Z80" s="11" t="s">
        <v>76</v>
      </c>
      <c r="AR80" s="11"/>
    </row>
    <row r="81" spans="1:48" s="9" customFormat="1" hidden="1" x14ac:dyDescent="0.3">
      <c r="C81" s="12"/>
      <c r="E81" s="12">
        <v>500</v>
      </c>
      <c r="G81" s="12">
        <v>5</v>
      </c>
      <c r="I81" s="3"/>
      <c r="T81" s="9" t="s">
        <v>75</v>
      </c>
      <c r="AF81" s="23"/>
    </row>
    <row r="82" spans="1:48" s="9" customFormat="1" hidden="1" x14ac:dyDescent="0.3">
      <c r="C82" s="12"/>
      <c r="K82" s="9" t="s">
        <v>75</v>
      </c>
      <c r="S82" s="11"/>
      <c r="T82" s="12" t="s">
        <v>25</v>
      </c>
      <c r="U82" s="12" t="s">
        <v>339</v>
      </c>
      <c r="V82" s="12" t="s">
        <v>30</v>
      </c>
      <c r="W82" s="12" t="s">
        <v>29</v>
      </c>
      <c r="X82" s="12" t="s">
        <v>31</v>
      </c>
      <c r="Y82" s="12" t="s">
        <v>340</v>
      </c>
      <c r="Z82" s="12" t="s">
        <v>26</v>
      </c>
      <c r="AA82" s="12" t="s">
        <v>341</v>
      </c>
      <c r="AC82" s="4"/>
      <c r="AF82" s="23"/>
      <c r="AK82" s="11"/>
      <c r="AL82" s="12"/>
      <c r="AM82" s="12"/>
      <c r="AN82" s="12"/>
      <c r="AO82" s="12"/>
      <c r="AP82" s="12"/>
      <c r="AQ82" s="12"/>
      <c r="AR82" s="12"/>
      <c r="AS82" s="12"/>
    </row>
    <row r="83" spans="1:48" s="9" customFormat="1" ht="15" hidden="1" x14ac:dyDescent="0.3">
      <c r="C83" s="12"/>
      <c r="D83" s="11" t="s">
        <v>24</v>
      </c>
      <c r="E83" s="3">
        <f>IF(C6=0.45,I84,IF(C6=0.5,I85,IF(C6=0.6,I86,IF(C6=0.7,I87,IF(C6=0.75,I88,IF(C6=0.88,I89,IF(C6=1,I90)))))))</f>
        <v>6.913102499999999</v>
      </c>
      <c r="F83" s="4" t="s">
        <v>150</v>
      </c>
      <c r="G83" s="12" t="s">
        <v>134</v>
      </c>
      <c r="H83" s="12" t="s">
        <v>30</v>
      </c>
      <c r="I83" s="12" t="s">
        <v>310</v>
      </c>
      <c r="J83" s="11"/>
      <c r="K83" s="12" t="s">
        <v>25</v>
      </c>
      <c r="L83" s="12" t="s">
        <v>339</v>
      </c>
      <c r="M83" s="12" t="s">
        <v>30</v>
      </c>
      <c r="N83" s="12" t="s">
        <v>29</v>
      </c>
      <c r="O83" s="12" t="s">
        <v>31</v>
      </c>
      <c r="P83" s="12" t="s">
        <v>340</v>
      </c>
      <c r="Q83" s="12" t="s">
        <v>26</v>
      </c>
      <c r="R83" s="12" t="s">
        <v>341</v>
      </c>
      <c r="S83" s="11">
        <v>1</v>
      </c>
      <c r="T83" s="12">
        <v>2</v>
      </c>
      <c r="U83" s="3">
        <f>U56/2</f>
        <v>10</v>
      </c>
      <c r="V83" s="3">
        <f>U83*T83</f>
        <v>20</v>
      </c>
      <c r="W83" s="3">
        <f>U65</f>
        <v>34.25</v>
      </c>
      <c r="X83" s="33">
        <f>V83*W83</f>
        <v>685</v>
      </c>
      <c r="Y83" s="23">
        <f>X83*W83</f>
        <v>23461.25</v>
      </c>
      <c r="Z83" s="11">
        <v>0</v>
      </c>
      <c r="AA83" s="35">
        <f>V83*Z83*Z83/12</f>
        <v>0</v>
      </c>
      <c r="AF83" s="23"/>
      <c r="AK83" s="11"/>
      <c r="AL83" s="12"/>
      <c r="AM83" s="3"/>
      <c r="AN83" s="3"/>
      <c r="AO83" s="3"/>
      <c r="AP83" s="33"/>
      <c r="AQ83" s="23"/>
      <c r="AR83" s="35"/>
      <c r="AS83" s="35"/>
    </row>
    <row r="84" spans="1:48" s="9" customFormat="1" hidden="1" x14ac:dyDescent="0.3">
      <c r="C84" s="12" t="s">
        <v>151</v>
      </c>
      <c r="D84" s="11" t="s">
        <v>152</v>
      </c>
      <c r="E84" s="3">
        <f>C10+E83</f>
        <v>6.913102499999999</v>
      </c>
      <c r="G84" s="12">
        <v>0.45</v>
      </c>
      <c r="H84" s="3">
        <f>M91/L55</f>
        <v>1.1741999999999999</v>
      </c>
      <c r="I84" s="3">
        <f>$Q$21*G84*7850/1000</f>
        <v>4.1478615000000003</v>
      </c>
      <c r="J84" s="11">
        <v>1</v>
      </c>
      <c r="K84" s="12">
        <v>1</v>
      </c>
      <c r="L84" s="3">
        <v>20</v>
      </c>
      <c r="M84" s="3">
        <f>L84*K84</f>
        <v>20</v>
      </c>
      <c r="N84" s="3">
        <v>34</v>
      </c>
      <c r="O84" s="33">
        <f>M84*N84</f>
        <v>680</v>
      </c>
      <c r="P84" s="23">
        <f>O84*N84</f>
        <v>23120</v>
      </c>
      <c r="Q84" s="11">
        <v>0</v>
      </c>
      <c r="R84" s="35">
        <f>M84*Q84*Q84/12</f>
        <v>0</v>
      </c>
      <c r="S84" s="11">
        <v>2</v>
      </c>
      <c r="T84" s="12">
        <v>2</v>
      </c>
      <c r="U84" s="3">
        <f>U66/SIN(U63)</f>
        <v>9.9323427714554757</v>
      </c>
      <c r="V84" s="3">
        <f t="shared" ref="V84:V87" si="2">U84*T84</f>
        <v>19.864685542910951</v>
      </c>
      <c r="W84" s="3">
        <f>U65-U66/2</f>
        <v>30.125</v>
      </c>
      <c r="X84" s="33">
        <f t="shared" ref="X84:X87" si="3">V84*W84</f>
        <v>598.4236519801924</v>
      </c>
      <c r="Y84" s="23">
        <f t="shared" ref="Y84:Y87" si="4">X84*W84</f>
        <v>18027.512515903298</v>
      </c>
      <c r="Z84" s="11">
        <f>U66</f>
        <v>8.25</v>
      </c>
      <c r="AA84" s="35">
        <f t="shared" ref="AA84:AA87" si="5">V84*Z84*Z84/12</f>
        <v>112.67001331369805</v>
      </c>
      <c r="AF84" s="23"/>
      <c r="AK84" s="11"/>
      <c r="AL84" s="12"/>
      <c r="AM84" s="3"/>
      <c r="AN84" s="3"/>
      <c r="AO84" s="3"/>
      <c r="AP84" s="33"/>
      <c r="AQ84" s="23"/>
      <c r="AR84" s="35"/>
      <c r="AS84" s="35"/>
    </row>
    <row r="85" spans="1:48" s="9" customFormat="1" hidden="1" x14ac:dyDescent="0.3">
      <c r="A85" s="9">
        <f>IF(C12="Позитиван",1,2)</f>
        <v>1</v>
      </c>
      <c r="B85" s="11" t="s">
        <v>149</v>
      </c>
      <c r="C85" s="12"/>
      <c r="D85" s="11" t="s">
        <v>153</v>
      </c>
      <c r="E85" s="3">
        <f>(E84+C10)/10</f>
        <v>0.6913102499999999</v>
      </c>
      <c r="F85" s="9" t="s">
        <v>154</v>
      </c>
      <c r="G85" s="12">
        <v>0.5</v>
      </c>
      <c r="H85" s="3"/>
      <c r="I85" s="3">
        <f t="shared" ref="I85:I90" si="6">$Q$21*G85*7850/1000</f>
        <v>4.6087349999999994</v>
      </c>
      <c r="J85" s="11">
        <v>2</v>
      </c>
      <c r="K85" s="12">
        <v>2</v>
      </c>
      <c r="L85" s="3">
        <v>9.61</v>
      </c>
      <c r="M85" s="3">
        <f t="shared" ref="M85:M90" si="7">L85*K85</f>
        <v>19.22</v>
      </c>
      <c r="N85" s="3">
        <v>30</v>
      </c>
      <c r="O85" s="33">
        <f t="shared" ref="O85:O90" si="8">M85*N85</f>
        <v>576.59999999999991</v>
      </c>
      <c r="P85" s="23">
        <f t="shared" ref="P85:P90" si="9">O85*N85</f>
        <v>17297.999999999996</v>
      </c>
      <c r="Q85" s="11">
        <v>8</v>
      </c>
      <c r="R85" s="35">
        <f t="shared" ref="R85:R90" si="10">M85*Q85*Q85/12</f>
        <v>102.50666666666666</v>
      </c>
      <c r="S85" s="11">
        <v>3</v>
      </c>
      <c r="T85" s="12">
        <v>2</v>
      </c>
      <c r="U85" s="3">
        <f>AA65</f>
        <v>4.4721359549995796</v>
      </c>
      <c r="V85" s="3">
        <f t="shared" si="2"/>
        <v>8.9442719099991592</v>
      </c>
      <c r="W85" s="3">
        <f>AA62+AA55/2</f>
        <v>23.625</v>
      </c>
      <c r="X85" s="33">
        <f t="shared" si="3"/>
        <v>211.30842387373013</v>
      </c>
      <c r="Y85" s="23">
        <f t="shared" si="4"/>
        <v>4992.1615140168742</v>
      </c>
      <c r="Z85" s="11">
        <f>AA55</f>
        <v>4</v>
      </c>
      <c r="AA85" s="35">
        <f t="shared" si="5"/>
        <v>11.925695879998878</v>
      </c>
      <c r="AC85" s="4"/>
      <c r="AD85" s="23"/>
      <c r="AF85" s="23"/>
      <c r="AK85" s="11"/>
      <c r="AL85" s="12"/>
      <c r="AM85" s="3"/>
      <c r="AN85" s="3"/>
      <c r="AO85" s="3"/>
      <c r="AP85" s="33"/>
      <c r="AQ85" s="23"/>
      <c r="AR85" s="35"/>
      <c r="AS85" s="35"/>
      <c r="AU85" s="11"/>
      <c r="AV85" s="23"/>
    </row>
    <row r="86" spans="1:48" s="9" customFormat="1" hidden="1" x14ac:dyDescent="0.3">
      <c r="B86" s="11" t="s">
        <v>155</v>
      </c>
      <c r="C86" s="12"/>
      <c r="D86" s="11" t="s">
        <v>278</v>
      </c>
      <c r="E86" s="3">
        <f>1.35*(E84+C10)/100</f>
        <v>9.3326883750000006E-2</v>
      </c>
      <c r="F86" s="9" t="s">
        <v>157</v>
      </c>
      <c r="G86" s="12">
        <v>0.6</v>
      </c>
      <c r="H86" s="3"/>
      <c r="I86" s="3">
        <f t="shared" si="6"/>
        <v>5.5304819999999992</v>
      </c>
      <c r="J86" s="11">
        <v>3</v>
      </c>
      <c r="K86" s="12">
        <v>2</v>
      </c>
      <c r="L86" s="3">
        <v>4.47</v>
      </c>
      <c r="M86" s="3">
        <f t="shared" si="7"/>
        <v>8.94</v>
      </c>
      <c r="N86" s="3">
        <v>23.5</v>
      </c>
      <c r="O86" s="33">
        <f t="shared" si="8"/>
        <v>210.08999999999997</v>
      </c>
      <c r="P86" s="23">
        <f t="shared" si="9"/>
        <v>4937.1149999999998</v>
      </c>
      <c r="Q86" s="11">
        <v>4</v>
      </c>
      <c r="R86" s="35">
        <f t="shared" si="10"/>
        <v>11.92</v>
      </c>
      <c r="S86" s="11">
        <v>4</v>
      </c>
      <c r="T86" s="12">
        <v>2</v>
      </c>
      <c r="U86" s="3">
        <f>AA62/SIN(U63)</f>
        <v>26.034777264572686</v>
      </c>
      <c r="V86" s="3">
        <f t="shared" si="2"/>
        <v>52.069554529145371</v>
      </c>
      <c r="W86" s="3">
        <f>AA62/2</f>
        <v>10.8125</v>
      </c>
      <c r="X86" s="33">
        <f t="shared" si="3"/>
        <v>563.00205834638427</v>
      </c>
      <c r="Y86" s="23">
        <f t="shared" si="4"/>
        <v>6087.4597558702799</v>
      </c>
      <c r="Z86" s="11">
        <f>AA62</f>
        <v>21.625</v>
      </c>
      <c r="AA86" s="35">
        <f t="shared" si="5"/>
        <v>2029.15325195676</v>
      </c>
      <c r="AK86" s="11"/>
      <c r="AL86" s="12"/>
      <c r="AM86" s="3"/>
      <c r="AN86" s="3"/>
      <c r="AO86" s="3"/>
      <c r="AP86" s="33"/>
      <c r="AQ86" s="23"/>
      <c r="AR86" s="35"/>
      <c r="AS86" s="35"/>
    </row>
    <row r="87" spans="1:48" s="9" customFormat="1" hidden="1" x14ac:dyDescent="0.3">
      <c r="C87" s="12"/>
      <c r="D87" s="11" t="s">
        <v>158</v>
      </c>
      <c r="E87" s="3">
        <f>C8*100</f>
        <v>400</v>
      </c>
      <c r="F87" s="9" t="s">
        <v>159</v>
      </c>
      <c r="G87" s="12">
        <v>0.7</v>
      </c>
      <c r="H87" s="3"/>
      <c r="I87" s="3">
        <f t="shared" si="6"/>
        <v>6.4522289999999991</v>
      </c>
      <c r="J87" s="11">
        <v>4</v>
      </c>
      <c r="K87" s="12">
        <v>2</v>
      </c>
      <c r="L87" s="3">
        <v>25.84</v>
      </c>
      <c r="M87" s="3">
        <f t="shared" si="7"/>
        <v>51.68</v>
      </c>
      <c r="N87" s="3">
        <v>10.75</v>
      </c>
      <c r="O87" s="33">
        <f t="shared" si="8"/>
        <v>555.55999999999995</v>
      </c>
      <c r="P87" s="23">
        <f t="shared" si="9"/>
        <v>5972.2699999999995</v>
      </c>
      <c r="Q87" s="11">
        <v>21.5</v>
      </c>
      <c r="R87" s="35">
        <f t="shared" si="10"/>
        <v>1990.7566666666664</v>
      </c>
      <c r="S87" s="11">
        <v>5</v>
      </c>
      <c r="T87" s="12">
        <v>1</v>
      </c>
      <c r="U87" s="3">
        <f>X63</f>
        <v>134.7016693470247</v>
      </c>
      <c r="V87" s="3">
        <f t="shared" si="2"/>
        <v>134.7016693470247</v>
      </c>
      <c r="W87" s="3">
        <v>0</v>
      </c>
      <c r="X87" s="33">
        <f t="shared" si="3"/>
        <v>0</v>
      </c>
      <c r="Y87" s="23">
        <f t="shared" si="4"/>
        <v>0</v>
      </c>
      <c r="Z87" s="11">
        <v>0</v>
      </c>
      <c r="AA87" s="35">
        <f t="shared" si="5"/>
        <v>0</v>
      </c>
      <c r="AK87" s="11"/>
      <c r="AL87" s="12"/>
      <c r="AM87" s="3"/>
      <c r="AN87" s="3"/>
      <c r="AO87" s="3"/>
      <c r="AP87" s="33"/>
      <c r="AQ87" s="23"/>
      <c r="AR87" s="35"/>
      <c r="AS87" s="35"/>
    </row>
    <row r="88" spans="1:48" s="9" customFormat="1" hidden="1" x14ac:dyDescent="0.3">
      <c r="B88" s="11" t="s">
        <v>161</v>
      </c>
      <c r="C88" s="12" t="s">
        <v>162</v>
      </c>
      <c r="F88" s="21"/>
      <c r="G88" s="12">
        <v>0.75</v>
      </c>
      <c r="H88" s="3"/>
      <c r="I88" s="3">
        <f t="shared" si="6"/>
        <v>6.913102499999999</v>
      </c>
      <c r="J88" s="11">
        <v>5</v>
      </c>
      <c r="K88" s="12">
        <v>2</v>
      </c>
      <c r="L88" s="3">
        <v>52.5</v>
      </c>
      <c r="M88" s="3">
        <f t="shared" si="7"/>
        <v>105</v>
      </c>
      <c r="N88" s="3">
        <v>0</v>
      </c>
      <c r="O88" s="33">
        <f t="shared" si="8"/>
        <v>0</v>
      </c>
      <c r="P88" s="23">
        <f t="shared" si="9"/>
        <v>0</v>
      </c>
      <c r="Q88" s="11">
        <v>0</v>
      </c>
      <c r="R88" s="35">
        <f t="shared" si="10"/>
        <v>0</v>
      </c>
      <c r="S88" s="11"/>
      <c r="T88" s="26" t="s">
        <v>342</v>
      </c>
      <c r="U88" s="3"/>
      <c r="V88" s="3">
        <f>SUM(V83:V87)</f>
        <v>235.58018132908018</v>
      </c>
      <c r="W88" s="3"/>
      <c r="X88" s="33">
        <f>SUM(X83:X87)</f>
        <v>2057.7341342003069</v>
      </c>
      <c r="Y88" s="23">
        <f>SUM(Y83:Y87)</f>
        <v>52568.383785790451</v>
      </c>
      <c r="Z88" s="11"/>
      <c r="AA88" s="35">
        <f>SUM(AA83:AA87)</f>
        <v>2153.748961150457</v>
      </c>
      <c r="AH88" s="23"/>
      <c r="AK88" s="11"/>
      <c r="AL88" s="12"/>
      <c r="AM88" s="3"/>
      <c r="AN88" s="3"/>
      <c r="AO88" s="3"/>
      <c r="AP88" s="33"/>
      <c r="AQ88" s="23"/>
      <c r="AR88" s="23"/>
      <c r="AS88" s="35"/>
    </row>
    <row r="89" spans="1:48" s="9" customFormat="1" hidden="1" x14ac:dyDescent="0.3">
      <c r="A89" s="9">
        <v>320</v>
      </c>
      <c r="B89" s="23">
        <f>IF(C5=320,C123,0)</f>
        <v>3.7465739070776127</v>
      </c>
      <c r="C89" s="3">
        <f>IF(C5=320,D123,0)</f>
        <v>1.677473161537147</v>
      </c>
      <c r="G89" s="12">
        <v>0.88</v>
      </c>
      <c r="I89" s="3">
        <f t="shared" si="6"/>
        <v>8.1113736000000003</v>
      </c>
      <c r="J89" s="11">
        <v>6</v>
      </c>
      <c r="K89" s="12">
        <v>2</v>
      </c>
      <c r="L89" s="3">
        <v>2.5</v>
      </c>
      <c r="M89" s="3">
        <f t="shared" si="7"/>
        <v>5</v>
      </c>
      <c r="N89" s="3">
        <v>1</v>
      </c>
      <c r="O89" s="33">
        <f t="shared" si="8"/>
        <v>5</v>
      </c>
      <c r="P89" s="23">
        <f t="shared" si="9"/>
        <v>5</v>
      </c>
      <c r="Q89" s="9">
        <v>2</v>
      </c>
      <c r="R89" s="35">
        <f t="shared" si="10"/>
        <v>1.6666666666666667</v>
      </c>
      <c r="S89" s="11"/>
      <c r="T89" s="12"/>
      <c r="U89" s="3"/>
      <c r="V89" s="3"/>
      <c r="W89" s="3"/>
      <c r="X89" s="33"/>
      <c r="Y89" s="23"/>
      <c r="Z89" s="11"/>
      <c r="AA89" s="35"/>
      <c r="AD89" s="9">
        <v>5</v>
      </c>
      <c r="AE89" s="9">
        <v>3</v>
      </c>
      <c r="AK89" s="11"/>
      <c r="AL89" s="12"/>
      <c r="AM89" s="3"/>
      <c r="AN89" s="3"/>
      <c r="AO89" s="3"/>
      <c r="AP89" s="33"/>
      <c r="AQ89" s="23"/>
      <c r="AR89" s="23"/>
      <c r="AS89" s="35"/>
    </row>
    <row r="90" spans="1:48" s="9" customFormat="1" hidden="1" x14ac:dyDescent="0.3">
      <c r="A90" s="9">
        <v>280</v>
      </c>
      <c r="B90" s="23">
        <f>IF(C5=280,G123,0)</f>
        <v>0</v>
      </c>
      <c r="C90" s="3">
        <f>IF(C5=280,H123,0)</f>
        <v>0</v>
      </c>
      <c r="G90" s="12">
        <v>1</v>
      </c>
      <c r="I90" s="3">
        <f t="shared" si="6"/>
        <v>9.2174699999999987</v>
      </c>
      <c r="J90" s="11">
        <v>7</v>
      </c>
      <c r="K90" s="12">
        <v>1</v>
      </c>
      <c r="L90" s="3">
        <v>25</v>
      </c>
      <c r="M90" s="3">
        <f t="shared" si="7"/>
        <v>25</v>
      </c>
      <c r="N90" s="3">
        <v>2</v>
      </c>
      <c r="O90" s="33">
        <f t="shared" si="8"/>
        <v>50</v>
      </c>
      <c r="P90" s="23">
        <f t="shared" si="9"/>
        <v>100</v>
      </c>
      <c r="Q90" s="11">
        <v>0</v>
      </c>
      <c r="R90" s="35">
        <f t="shared" si="10"/>
        <v>0</v>
      </c>
      <c r="S90" s="11"/>
      <c r="T90" s="9" t="s">
        <v>343</v>
      </c>
      <c r="W90" s="23">
        <f>X88/V88</f>
        <v>8.7347506169284834</v>
      </c>
      <c r="X90" s="4" t="s">
        <v>0</v>
      </c>
      <c r="Y90" s="16"/>
      <c r="Z90" s="3"/>
      <c r="AA90" s="3"/>
      <c r="AD90" s="9">
        <f>MIN(AD89,AE89)</f>
        <v>3</v>
      </c>
      <c r="AL90" s="26"/>
      <c r="AM90" s="3"/>
      <c r="AN90" s="3"/>
      <c r="AO90" s="3"/>
      <c r="AP90" s="33"/>
      <c r="AQ90" s="23"/>
      <c r="AR90" s="11"/>
      <c r="AS90" s="35"/>
    </row>
    <row r="91" spans="1:48" s="9" customFormat="1" hidden="1" x14ac:dyDescent="0.3">
      <c r="A91" s="23"/>
      <c r="C91" s="12"/>
      <c r="K91" s="26" t="s">
        <v>342</v>
      </c>
      <c r="L91" s="3"/>
      <c r="M91" s="3">
        <f>SUM(M84:M90)</f>
        <v>234.84</v>
      </c>
      <c r="N91" s="3"/>
      <c r="O91" s="33">
        <f>SUM(O84:O90)</f>
        <v>2077.25</v>
      </c>
      <c r="P91" s="23">
        <f>SUM(P84:P90)</f>
        <v>51432.384999999995</v>
      </c>
      <c r="Q91" s="11"/>
      <c r="R91" s="35">
        <f>SUM(R84:R88)</f>
        <v>2105.1833333333329</v>
      </c>
      <c r="S91" s="11"/>
      <c r="T91" s="9" t="s">
        <v>32</v>
      </c>
      <c r="W91" s="23">
        <f>X56*V88</f>
        <v>176.68513599681012</v>
      </c>
      <c r="X91" s="4" t="s">
        <v>344</v>
      </c>
      <c r="Y91" s="16"/>
      <c r="Z91" s="3"/>
      <c r="AA91" s="23"/>
    </row>
    <row r="92" spans="1:48" s="9" customFormat="1" hidden="1" x14ac:dyDescent="0.3">
      <c r="C92" s="12" t="s">
        <v>174</v>
      </c>
      <c r="D92" s="11" t="str">
        <f>IF(A85=1,"Md+ =","Md- =")</f>
        <v>Md+ =</v>
      </c>
      <c r="E92" s="3">
        <f>IF(A85=1,G93,G96)</f>
        <v>3.7465739070776127</v>
      </c>
      <c r="F92" s="9" t="s">
        <v>164</v>
      </c>
      <c r="I92" s="16"/>
      <c r="T92" s="9" t="s">
        <v>345</v>
      </c>
      <c r="U92" s="26"/>
      <c r="V92" s="3"/>
      <c r="W92" s="42">
        <f>X56*(Y88+AA88-V88*W90*W90)</f>
        <v>27561.25368656998</v>
      </c>
      <c r="X92" s="43" t="s">
        <v>346</v>
      </c>
      <c r="Y92" s="23"/>
    </row>
    <row r="93" spans="1:48" s="9" customFormat="1" hidden="1" x14ac:dyDescent="0.3">
      <c r="C93" s="12" t="s">
        <v>175</v>
      </c>
      <c r="D93" s="11" t="str">
        <f>IF(A85=1,"Md- =","Md+ =")</f>
        <v>Md- =</v>
      </c>
      <c r="E93" s="3">
        <f>IF(A85=1,G96,G93)</f>
        <v>1.677473161537147</v>
      </c>
      <c r="F93" s="11" t="s">
        <v>165</v>
      </c>
      <c r="G93" s="23">
        <f>IF(C5=320,B89,B90)</f>
        <v>3.7465739070776127</v>
      </c>
      <c r="H93" s="12" t="s">
        <v>22</v>
      </c>
      <c r="I93" s="16"/>
      <c r="J93" s="11"/>
      <c r="K93" s="9" t="s">
        <v>343</v>
      </c>
      <c r="N93" s="23">
        <f>O91/M91</f>
        <v>8.8453840912962018</v>
      </c>
      <c r="O93" s="4" t="s">
        <v>0</v>
      </c>
    </row>
    <row r="94" spans="1:48" s="9" customFormat="1" hidden="1" x14ac:dyDescent="0.3">
      <c r="A94" s="44" t="s">
        <v>308</v>
      </c>
      <c r="B94" s="12">
        <v>1</v>
      </c>
      <c r="C94" s="12"/>
      <c r="I94" s="16"/>
      <c r="J94" s="11"/>
      <c r="K94" s="9" t="s">
        <v>32</v>
      </c>
      <c r="N94" s="23">
        <f>O56*M91</f>
        <v>176.13</v>
      </c>
      <c r="O94" s="4" t="s">
        <v>344</v>
      </c>
      <c r="P94" s="23"/>
      <c r="Q94" s="11"/>
      <c r="R94" s="35"/>
      <c r="T94" s="9" t="s">
        <v>132</v>
      </c>
      <c r="Y94" s="9" t="s">
        <v>46</v>
      </c>
    </row>
    <row r="95" spans="1:48" s="9" customFormat="1" hidden="1" x14ac:dyDescent="0.3">
      <c r="C95" s="12"/>
      <c r="F95" s="9" t="s">
        <v>166</v>
      </c>
      <c r="J95" s="11"/>
      <c r="K95" s="9" t="s">
        <v>345</v>
      </c>
      <c r="L95" s="26"/>
      <c r="M95" s="3"/>
      <c r="N95" s="42">
        <f>O56*(P91+R91-M91*N93*N93)</f>
        <v>26372.620672266221</v>
      </c>
      <c r="O95" s="43" t="s">
        <v>346</v>
      </c>
      <c r="P95" s="11" t="s">
        <v>207</v>
      </c>
      <c r="Q95" s="3">
        <f>N95/10/L55</f>
        <v>13.186310336133111</v>
      </c>
      <c r="R95" s="3" t="s">
        <v>131</v>
      </c>
      <c r="T95" s="9" t="s">
        <v>48</v>
      </c>
    </row>
    <row r="96" spans="1:48" s="9" customFormat="1" hidden="1" x14ac:dyDescent="0.3">
      <c r="B96" s="27" t="s">
        <v>168</v>
      </c>
      <c r="C96" s="12"/>
      <c r="F96" s="11" t="s">
        <v>167</v>
      </c>
      <c r="G96" s="23">
        <f>IF(C5=320,C89,C90)</f>
        <v>1.677473161537147</v>
      </c>
      <c r="H96" s="12" t="s">
        <v>22</v>
      </c>
      <c r="J96" s="11"/>
      <c r="P96" s="11" t="s">
        <v>208</v>
      </c>
      <c r="Q96" s="3">
        <f>10*Q95/N93</f>
        <v>14.90756105108918</v>
      </c>
      <c r="R96" s="9" t="s">
        <v>113</v>
      </c>
      <c r="T96" s="9" t="s">
        <v>35</v>
      </c>
      <c r="AK96" s="11"/>
      <c r="AL96" s="12"/>
      <c r="AM96" s="3"/>
      <c r="AN96" s="3"/>
      <c r="AO96" s="3"/>
      <c r="AP96" s="33"/>
      <c r="AQ96" s="23"/>
      <c r="AR96" s="11"/>
      <c r="AS96" s="35"/>
    </row>
    <row r="97" spans="1:49" s="9" customFormat="1" hidden="1" x14ac:dyDescent="0.3">
      <c r="B97" s="12"/>
      <c r="C97" s="12"/>
      <c r="D97" s="12" t="s">
        <v>279</v>
      </c>
      <c r="E97" s="12" t="s">
        <v>280</v>
      </c>
      <c r="K97" s="9" t="s">
        <v>132</v>
      </c>
      <c r="P97" s="9" t="s">
        <v>46</v>
      </c>
      <c r="T97" s="9" t="s">
        <v>33</v>
      </c>
      <c r="U97" s="11" t="s">
        <v>347</v>
      </c>
      <c r="V97" s="4">
        <v>4</v>
      </c>
      <c r="AK97" s="11"/>
      <c r="AO97" s="23"/>
      <c r="AP97" s="4"/>
      <c r="AQ97" s="16"/>
      <c r="AR97" s="3"/>
      <c r="AS97" s="3"/>
    </row>
    <row r="98" spans="1:49" s="9" customFormat="1" hidden="1" x14ac:dyDescent="0.3">
      <c r="B98" s="12"/>
      <c r="C98" s="12"/>
      <c r="D98" s="12" t="s">
        <v>23</v>
      </c>
      <c r="E98" s="12" t="s">
        <v>23</v>
      </c>
      <c r="K98" s="11"/>
      <c r="L98" s="4"/>
      <c r="T98" s="9" t="s">
        <v>34</v>
      </c>
      <c r="Y98" s="26" t="s">
        <v>348</v>
      </c>
      <c r="Z98" s="23">
        <v>1</v>
      </c>
      <c r="AK98" s="11"/>
      <c r="AO98" s="23"/>
      <c r="AP98" s="4"/>
      <c r="AQ98" s="16"/>
      <c r="AR98" s="3"/>
      <c r="AS98" s="23"/>
    </row>
    <row r="99" spans="1:49" s="9" customFormat="1" hidden="1" x14ac:dyDescent="0.3">
      <c r="B99" s="3"/>
      <c r="C99" s="3"/>
      <c r="D99" s="3">
        <f>IF($C$9=1,D104,IF($C$9=2,D105,IF($C$9=3,D106,IF($C$9=4,$D$107,IF($C$9=5,D108)))))</f>
        <v>0.1194584112</v>
      </c>
      <c r="E99" s="3">
        <f>IF($C$9=1,E104,IF($C$9=2,E105,IF($C$9=3,E106,IF($C$9=4,$E$107,IF($C$9=5,E108)))))</f>
        <v>-0.149323014</v>
      </c>
      <c r="F99" s="12"/>
      <c r="G99" s="12"/>
      <c r="H99" s="12"/>
      <c r="I99" s="12"/>
      <c r="K99" s="9" t="s">
        <v>137</v>
      </c>
      <c r="T99" s="45" t="s">
        <v>349</v>
      </c>
      <c r="W99" s="38">
        <f>SQRT(235/X59)</f>
        <v>0.85695682505013049</v>
      </c>
      <c r="Y99" s="45" t="s">
        <v>350</v>
      </c>
      <c r="AM99" s="26"/>
      <c r="AN99" s="3"/>
      <c r="AO99" s="42"/>
      <c r="AP99" s="43"/>
      <c r="AQ99" s="23"/>
    </row>
    <row r="100" spans="1:49" s="9" customFormat="1" hidden="1" x14ac:dyDescent="0.3">
      <c r="C100" s="12"/>
      <c r="F100" s="12"/>
      <c r="G100" s="12"/>
      <c r="H100" s="3"/>
      <c r="I100" s="3"/>
      <c r="K100" s="9" t="s">
        <v>35</v>
      </c>
      <c r="T100" s="45" t="s">
        <v>351</v>
      </c>
      <c r="W100" s="38">
        <f>(X63/X56)/(28.4*W99*SQRT(V97))</f>
        <v>3.6898136815128573</v>
      </c>
      <c r="X100" s="9" t="str">
        <f>IF(W100&lt;0.673,"&lt;= 0.673","&gt; 0.673")</f>
        <v>&gt; 0.673</v>
      </c>
      <c r="Y100" s="26" t="s">
        <v>36</v>
      </c>
      <c r="Z100" s="32">
        <f>IF(W100&lt;=0.673,1,(W100-0.0055*(3+Z98))/(W100*W100))</f>
        <v>0.26940049691491874</v>
      </c>
      <c r="AB100" s="45" t="s">
        <v>350</v>
      </c>
      <c r="AF100" s="9" t="s">
        <v>38</v>
      </c>
      <c r="AT100" s="45"/>
    </row>
    <row r="101" spans="1:49" s="9" customFormat="1" hidden="1" x14ac:dyDescent="0.3">
      <c r="C101" s="12"/>
      <c r="F101" s="3"/>
      <c r="G101" s="12"/>
      <c r="I101" s="3"/>
      <c r="K101" s="9" t="s">
        <v>33</v>
      </c>
      <c r="L101" s="11" t="s">
        <v>347</v>
      </c>
      <c r="M101" s="4">
        <v>4</v>
      </c>
      <c r="T101" s="45" t="s">
        <v>37</v>
      </c>
      <c r="W101" s="35">
        <f>Z100*X63</f>
        <v>36.288696657357534</v>
      </c>
      <c r="X101" s="9" t="s">
        <v>0</v>
      </c>
      <c r="AB101" s="45" t="s">
        <v>352</v>
      </c>
      <c r="AF101" s="9" t="s">
        <v>39</v>
      </c>
      <c r="AT101" s="45"/>
    </row>
    <row r="102" spans="1:49" s="9" customFormat="1" hidden="1" x14ac:dyDescent="0.3">
      <c r="A102" s="9" t="s">
        <v>173</v>
      </c>
      <c r="B102" s="12" t="s">
        <v>282</v>
      </c>
      <c r="C102" s="12" t="s">
        <v>283</v>
      </c>
      <c r="D102" s="12" t="s">
        <v>279</v>
      </c>
      <c r="E102" s="12" t="s">
        <v>280</v>
      </c>
      <c r="F102" s="3"/>
      <c r="K102" s="9" t="s">
        <v>34</v>
      </c>
      <c r="P102" s="26" t="s">
        <v>348</v>
      </c>
      <c r="Q102" s="23">
        <v>1</v>
      </c>
      <c r="T102" s="9" t="s">
        <v>41</v>
      </c>
      <c r="AB102" s="9" t="s">
        <v>353</v>
      </c>
    </row>
    <row r="103" spans="1:49" s="9" customFormat="1" hidden="1" x14ac:dyDescent="0.3">
      <c r="B103" s="12" t="s">
        <v>268</v>
      </c>
      <c r="C103" s="12" t="s">
        <v>268</v>
      </c>
      <c r="D103" s="12" t="s">
        <v>23</v>
      </c>
      <c r="E103" s="12" t="s">
        <v>23</v>
      </c>
      <c r="F103" s="3"/>
      <c r="H103" s="12"/>
      <c r="I103" s="12"/>
      <c r="K103" s="45" t="s">
        <v>349</v>
      </c>
      <c r="N103" s="38">
        <f>SQRT(235/O59)</f>
        <v>0.85695682505013049</v>
      </c>
      <c r="P103" s="45" t="s">
        <v>350</v>
      </c>
      <c r="T103" s="45" t="s">
        <v>52</v>
      </c>
      <c r="U103" s="9" t="s">
        <v>354</v>
      </c>
      <c r="W103" s="35">
        <f>X65+2*AA57*((SQRT(2)-1))</f>
        <v>16.242640687119284</v>
      </c>
      <c r="X103" s="9" t="s">
        <v>0</v>
      </c>
      <c r="AB103" s="9" t="s">
        <v>355</v>
      </c>
    </row>
    <row r="104" spans="1:49" s="9" customFormat="1" hidden="1" x14ac:dyDescent="0.3">
      <c r="A104" s="12">
        <v>1</v>
      </c>
      <c r="B104" s="37">
        <f>0.125</f>
        <v>0.125</v>
      </c>
      <c r="C104" s="37">
        <v>0</v>
      </c>
      <c r="D104" s="3">
        <f>0.125*E86*C8^2</f>
        <v>0.18665376750000001</v>
      </c>
      <c r="E104" s="3">
        <v>0</v>
      </c>
      <c r="F104" s="3"/>
      <c r="G104" s="12"/>
      <c r="H104" s="37"/>
      <c r="I104" s="37"/>
      <c r="K104" s="45" t="s">
        <v>91</v>
      </c>
      <c r="T104" s="45" t="s">
        <v>51</v>
      </c>
      <c r="U104" s="9" t="s">
        <v>44</v>
      </c>
      <c r="W104" s="35">
        <f>2*X64+X55+2*W103</f>
        <v>137.18695072126329</v>
      </c>
      <c r="X104" s="9" t="s">
        <v>0</v>
      </c>
      <c r="AB104" s="9" t="s">
        <v>356</v>
      </c>
      <c r="AM104" s="11"/>
      <c r="AN104" s="4"/>
    </row>
    <row r="105" spans="1:49" s="9" customFormat="1" hidden="1" x14ac:dyDescent="0.3">
      <c r="A105" s="12">
        <v>2</v>
      </c>
      <c r="B105" s="37">
        <f>0.0703</f>
        <v>7.0300000000000001E-2</v>
      </c>
      <c r="C105" s="37">
        <f>-0.125</f>
        <v>-0.125</v>
      </c>
      <c r="D105" s="3">
        <f>0.0703*E86*C8^2</f>
        <v>0.10497407884200001</v>
      </c>
      <c r="E105" s="3">
        <f>-0.125*E86*C8^2</f>
        <v>-0.18665376750000001</v>
      </c>
      <c r="F105" s="3"/>
      <c r="G105" s="12"/>
      <c r="H105" s="37"/>
      <c r="I105" s="37"/>
      <c r="K105" s="45" t="s">
        <v>357</v>
      </c>
      <c r="N105" s="46">
        <f>(O54/O56)/(28.4*N103*SQRT(M101))</f>
        <v>1.4381055499792423</v>
      </c>
      <c r="O105" s="9" t="str">
        <f>IF(N105&lt;0.673,"&lt;= 0.673","&gt; 0.673")</f>
        <v>&gt; 0.673</v>
      </c>
      <c r="P105" s="26" t="s">
        <v>36</v>
      </c>
      <c r="Q105" s="32">
        <f>IF(N105&lt;=0.673,1,(N105-0.0055*(3+Q102))/(N105*N105))</f>
        <v>0.68472171355088129</v>
      </c>
      <c r="T105" s="45" t="s">
        <v>50</v>
      </c>
      <c r="U105" s="9" t="s">
        <v>53</v>
      </c>
      <c r="W105" s="35">
        <f>0.5*W101</f>
        <v>18.144348328678767</v>
      </c>
      <c r="X105" s="9" t="s">
        <v>0</v>
      </c>
      <c r="AB105" s="45" t="s">
        <v>42</v>
      </c>
      <c r="AC105" s="9" t="s">
        <v>43</v>
      </c>
      <c r="AQ105" s="26"/>
      <c r="AR105" s="23"/>
      <c r="AT105" s="45"/>
    </row>
    <row r="106" spans="1:49" s="9" customFormat="1" hidden="1" x14ac:dyDescent="0.3">
      <c r="A106" s="12">
        <v>3</v>
      </c>
      <c r="B106" s="37">
        <f>0.08</f>
        <v>0.08</v>
      </c>
      <c r="C106" s="37">
        <f>-0.1</f>
        <v>-0.1</v>
      </c>
      <c r="D106" s="3">
        <f>0.08*E86*C8^2</f>
        <v>0.1194584112</v>
      </c>
      <c r="E106" s="3">
        <f>-0.1*E86*C8^2</f>
        <v>-0.149323014</v>
      </c>
      <c r="G106" s="12"/>
      <c r="H106" s="37"/>
      <c r="I106" s="37"/>
      <c r="K106" s="45" t="s">
        <v>92</v>
      </c>
      <c r="N106" s="23">
        <f>Q105*O54</f>
        <v>35.947889961421268</v>
      </c>
      <c r="P106" s="26" t="s">
        <v>145</v>
      </c>
      <c r="Q106" s="3">
        <f>IF(Q105&lt;1,N106,O54)</f>
        <v>35.947889961421268</v>
      </c>
      <c r="T106" s="45" t="s">
        <v>49</v>
      </c>
      <c r="U106" s="9" t="s">
        <v>53</v>
      </c>
      <c r="W106" s="35">
        <f>0.5*W101</f>
        <v>18.144348328678767</v>
      </c>
      <c r="X106" s="9" t="s">
        <v>0</v>
      </c>
      <c r="AL106" s="45"/>
      <c r="AO106" s="47"/>
      <c r="AQ106" s="45"/>
    </row>
    <row r="107" spans="1:49" s="9" customFormat="1" hidden="1" x14ac:dyDescent="0.3">
      <c r="A107" s="12">
        <v>4</v>
      </c>
      <c r="B107" s="37">
        <f>0.0772</f>
        <v>7.7200000000000005E-2</v>
      </c>
      <c r="C107" s="37">
        <f>-0.1071</f>
        <v>-0.1071</v>
      </c>
      <c r="D107" s="3">
        <f>0.0772*E86*C8^2</f>
        <v>0.11527736680800002</v>
      </c>
      <c r="E107" s="3">
        <f>-0.1071*E86*C8^2</f>
        <v>-0.15992494799400001</v>
      </c>
      <c r="G107" s="12"/>
      <c r="H107" s="37"/>
      <c r="I107" s="37"/>
      <c r="K107" s="45" t="s">
        <v>93</v>
      </c>
      <c r="N107" s="23">
        <f>0.5*N106</f>
        <v>17.973944980710634</v>
      </c>
      <c r="T107" s="45" t="s">
        <v>91</v>
      </c>
      <c r="AL107" s="45"/>
      <c r="AO107" s="47"/>
      <c r="AQ107" s="26"/>
      <c r="AR107" s="32"/>
    </row>
    <row r="108" spans="1:49" s="9" customFormat="1" hidden="1" x14ac:dyDescent="0.3">
      <c r="A108" s="12">
        <v>5</v>
      </c>
      <c r="B108" s="37">
        <f>0.0779</f>
        <v>7.7899999999999997E-2</v>
      </c>
      <c r="C108" s="37">
        <f>-0.1053</f>
        <v>-0.1053</v>
      </c>
      <c r="D108" s="3">
        <f>0.0779*E86*C8^2</f>
        <v>0.11632262790600001</v>
      </c>
      <c r="E108" s="3">
        <f>-0.1053*E86*C8^2</f>
        <v>-0.15723713374200002</v>
      </c>
      <c r="G108" s="12"/>
      <c r="H108" s="37"/>
      <c r="I108" s="37"/>
      <c r="K108" s="45"/>
      <c r="T108" s="45" t="s">
        <v>357</v>
      </c>
      <c r="W108" s="46">
        <f>(X54/X56)/(28.4*W99*SQRT(V97))</f>
        <v>1.4381055499792423</v>
      </c>
      <c r="X108" s="9" t="str">
        <f>IF(W108&lt;0.673,"&lt;= 0.673","&gt; 0.673")</f>
        <v>&gt; 0.673</v>
      </c>
      <c r="Y108" s="26" t="s">
        <v>36</v>
      </c>
      <c r="Z108" s="32">
        <f>IF(W108&lt;=0.673,1,(W108-0.0055*(3+Z98))/(W108*W108))</f>
        <v>0.68472171355088129</v>
      </c>
      <c r="AL108" s="45"/>
      <c r="AO108" s="48"/>
    </row>
    <row r="109" spans="1:49" s="9" customFormat="1" hidden="1" x14ac:dyDescent="0.3">
      <c r="B109" s="21"/>
      <c r="C109" s="12"/>
      <c r="G109" s="12"/>
      <c r="K109" s="45" t="s">
        <v>247</v>
      </c>
      <c r="M109" s="23">
        <f>O65</f>
        <v>25</v>
      </c>
      <c r="N109" s="9" t="s">
        <v>0</v>
      </c>
      <c r="T109" s="45" t="s">
        <v>92</v>
      </c>
      <c r="W109" s="23">
        <f>Z108*X54</f>
        <v>35.947889961421268</v>
      </c>
      <c r="X109" s="9" t="s">
        <v>0</v>
      </c>
      <c r="AB109" s="11"/>
      <c r="AC109" s="3"/>
      <c r="AT109" s="11"/>
      <c r="AU109" s="3"/>
    </row>
    <row r="110" spans="1:49" s="9" customFormat="1" hidden="1" x14ac:dyDescent="0.3">
      <c r="A110" s="9" t="s">
        <v>281</v>
      </c>
      <c r="C110" s="12" t="s">
        <v>273</v>
      </c>
      <c r="D110" s="3"/>
      <c r="E110" s="3"/>
      <c r="F110" s="3"/>
      <c r="G110" s="3"/>
      <c r="H110" s="11"/>
      <c r="K110" s="45" t="s">
        <v>358</v>
      </c>
      <c r="N110" s="46">
        <f>(O65/O56)/(28.4*N103*SQRT(M101))</f>
        <v>0.68481216665678213</v>
      </c>
      <c r="O110" s="9" t="str">
        <f>IF(N110&lt;0.673,"&lt;= 0.673","&gt; 0.673")</f>
        <v>&gt; 0.673</v>
      </c>
      <c r="P110" s="26" t="s">
        <v>36</v>
      </c>
      <c r="Q110" s="32">
        <f>IF(N110&lt;=0.673,1,(N110-0.0055*(3+H110))/(N110*N110))</f>
        <v>1.425070770385422</v>
      </c>
      <c r="T110" s="45" t="s">
        <v>93</v>
      </c>
      <c r="W110" s="23">
        <f>0.5*W109</f>
        <v>17.973944980710634</v>
      </c>
      <c r="X110" s="9" t="s">
        <v>0</v>
      </c>
      <c r="AE110" s="3"/>
      <c r="AL110" s="45"/>
      <c r="AO110" s="3"/>
      <c r="AW110" s="3"/>
    </row>
    <row r="111" spans="1:49" s="9" customFormat="1" hidden="1" x14ac:dyDescent="0.3">
      <c r="A111" s="12" t="s">
        <v>177</v>
      </c>
      <c r="B111" s="12" t="s">
        <v>178</v>
      </c>
      <c r="C111" s="12" t="s">
        <v>179</v>
      </c>
      <c r="D111" s="12" t="s">
        <v>180</v>
      </c>
      <c r="E111" s="12" t="s">
        <v>181</v>
      </c>
      <c r="F111" s="12" t="s">
        <v>182</v>
      </c>
      <c r="G111" s="12" t="s">
        <v>183</v>
      </c>
      <c r="H111" s="3"/>
      <c r="K111" s="45" t="s">
        <v>246</v>
      </c>
      <c r="N111" s="23">
        <f>Q110*O65</f>
        <v>35.626769259635552</v>
      </c>
      <c r="P111" s="26" t="s">
        <v>145</v>
      </c>
      <c r="Q111" s="3">
        <f>IF(Q110&lt;1,N111,O65)</f>
        <v>25</v>
      </c>
      <c r="T111" s="45" t="s">
        <v>94</v>
      </c>
      <c r="V111" s="9" t="s">
        <v>95</v>
      </c>
      <c r="AE111" s="3"/>
      <c r="AL111" s="45"/>
      <c r="AO111" s="3"/>
      <c r="AW111" s="3"/>
    </row>
    <row r="112" spans="1:49" s="9" customFormat="1" hidden="1" x14ac:dyDescent="0.3">
      <c r="A112" s="3">
        <f>IF(C6=0.5,0.5,IF(C6=0.6,0.6,IF(C6=0.7,0.7,IF(C6=0.75,0.75,IF(C6=0.88,0.88,IF(C6=1,1))))))</f>
        <v>0.75</v>
      </c>
      <c r="B112" s="3">
        <f>IF(C6=0.45,Q95,IF(C6=0.5,Q95,IF(C6=0.6,Q95,IF(C6=0.7,Q95,IF(C6=0.75,Q95,IF(C6=0.88,Q95,IF(C6=1,Q95)))))))</f>
        <v>13.186310336133111</v>
      </c>
      <c r="C112" s="49">
        <f>5*E85*E87^4/(384*B112*B113)</f>
        <v>0.83216444112951593</v>
      </c>
      <c r="D112" s="31">
        <f>0.0054*E85*E87^4/(B112*B113)</f>
        <v>0.34511523702523289</v>
      </c>
      <c r="E112" s="31">
        <f>0.0068*E85*E87^4/(B112*B113)</f>
        <v>0.43458955773547842</v>
      </c>
      <c r="F112" s="31">
        <f>0.0065*E85*E87^4/(B112*B113)</f>
        <v>0.41541648901185435</v>
      </c>
      <c r="G112" s="31">
        <f>0.0065*E85*E87^4/(B112*B113)</f>
        <v>0.41541648901185435</v>
      </c>
      <c r="H112" s="3"/>
      <c r="K112" s="45" t="s">
        <v>93</v>
      </c>
      <c r="N112" s="23">
        <f>0.5*N111</f>
        <v>17.813384629817776</v>
      </c>
      <c r="T112" s="45" t="s">
        <v>96</v>
      </c>
      <c r="AE112" s="3"/>
      <c r="AL112" s="45"/>
      <c r="AO112" s="3"/>
      <c r="AW112" s="3"/>
    </row>
    <row r="113" spans="1:54" s="9" customFormat="1" hidden="1" x14ac:dyDescent="0.3">
      <c r="A113" s="11" t="s">
        <v>160</v>
      </c>
      <c r="B113" s="31">
        <v>21000000</v>
      </c>
      <c r="C113" s="12"/>
      <c r="G113" s="32"/>
      <c r="H113" s="3"/>
      <c r="T113" s="50" t="s">
        <v>359</v>
      </c>
      <c r="W113" s="46">
        <f>(W90-AA57)/W90</f>
        <v>0.82827214355806478</v>
      </c>
      <c r="AC113" s="9" t="s">
        <v>5</v>
      </c>
      <c r="AL113" s="45"/>
      <c r="AO113" s="3"/>
    </row>
    <row r="114" spans="1:54" s="9" customFormat="1" hidden="1" x14ac:dyDescent="0.3">
      <c r="C114" s="12"/>
      <c r="H114" s="3"/>
      <c r="T114" s="4" t="s">
        <v>360</v>
      </c>
      <c r="W114" s="46">
        <f>IF(W113=1,4,8.2/(1.05*W113))</f>
        <v>9.4286930573034944</v>
      </c>
      <c r="AC114" s="45" t="s">
        <v>6</v>
      </c>
      <c r="AE114" s="11" t="s">
        <v>360</v>
      </c>
      <c r="AF114" s="23">
        <v>4</v>
      </c>
    </row>
    <row r="115" spans="1:54" s="9" customFormat="1" hidden="1" x14ac:dyDescent="0.3">
      <c r="A115" s="12" t="s">
        <v>185</v>
      </c>
      <c r="B115" s="12" t="s">
        <v>177</v>
      </c>
      <c r="C115" s="12" t="s">
        <v>186</v>
      </c>
      <c r="D115" s="12" t="s">
        <v>187</v>
      </c>
      <c r="E115" s="12" t="s">
        <v>188</v>
      </c>
      <c r="F115" s="12" t="s">
        <v>177</v>
      </c>
      <c r="G115" s="12" t="s">
        <v>186</v>
      </c>
      <c r="H115" s="12" t="s">
        <v>187</v>
      </c>
      <c r="K115" s="45" t="s">
        <v>251</v>
      </c>
      <c r="T115" s="45" t="s">
        <v>358</v>
      </c>
      <c r="W115" s="46">
        <f>(X65/X56)/(28.4*W99*SQRT(W114))</f>
        <v>0.2676251752493255</v>
      </c>
      <c r="X115" s="9" t="str">
        <f>IF(W115&lt;0.673,"&lt;= 0.673","&gt; 0.673")</f>
        <v>&lt;= 0.673</v>
      </c>
      <c r="Y115" s="26" t="s">
        <v>36</v>
      </c>
      <c r="Z115" s="32">
        <f>IF(W115&lt;=0.673,1,(W115-0.0055*(3+W113))/(W115*W115))</f>
        <v>1</v>
      </c>
      <c r="AC115" s="45" t="s">
        <v>7</v>
      </c>
      <c r="AE115" s="11" t="s">
        <v>361</v>
      </c>
      <c r="AF115" s="23">
        <f>8.2/(1.05+W113)</f>
        <v>4.3657145361622112</v>
      </c>
      <c r="AH115" s="12"/>
      <c r="AI115" s="12"/>
      <c r="AJ115" s="12"/>
      <c r="AT115" s="11"/>
      <c r="AU115" s="12"/>
      <c r="AV115" s="12"/>
      <c r="AW115" s="12"/>
      <c r="AX115" s="12"/>
      <c r="AY115" s="12"/>
      <c r="AZ115" s="12"/>
      <c r="BA115" s="12"/>
      <c r="BB115" s="12"/>
    </row>
    <row r="116" spans="1:54" s="9" customFormat="1" hidden="1" x14ac:dyDescent="0.3">
      <c r="B116" s="12">
        <v>0.45</v>
      </c>
      <c r="C116" s="32">
        <f>IF(AND($C$5=320,$C$6=0.45),$N$139,0)</f>
        <v>0</v>
      </c>
      <c r="D116" s="32">
        <f>IF(AND($C$5=320,$C$6=0.45),$N$208,0)</f>
        <v>0</v>
      </c>
      <c r="E116" s="12"/>
      <c r="F116" s="12">
        <v>0.45</v>
      </c>
      <c r="G116" s="32">
        <f>IF(AND($C$5=280,$C$6=0.45),$N$139,0)</f>
        <v>0</v>
      </c>
      <c r="H116" s="32">
        <f>IF(AND($C$5=280,$C$6=0.45),$N$208,0)</f>
        <v>0</v>
      </c>
      <c r="K116" s="50" t="s">
        <v>359</v>
      </c>
      <c r="N116" s="46">
        <f>(N93-R57)/N93</f>
        <v>0.83042002647731372</v>
      </c>
      <c r="T116" s="45" t="s">
        <v>97</v>
      </c>
      <c r="W116" s="23">
        <f>Z115*X65</f>
        <v>15</v>
      </c>
      <c r="X116" s="9" t="s">
        <v>0</v>
      </c>
      <c r="AC116" s="45" t="s">
        <v>8</v>
      </c>
      <c r="AE116" s="11" t="s">
        <v>360</v>
      </c>
      <c r="AF116" s="23">
        <v>7.81</v>
      </c>
      <c r="AH116" s="12"/>
      <c r="AI116" s="3"/>
      <c r="AJ116" s="32"/>
      <c r="AK116" s="11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3"/>
      <c r="AW116" s="3"/>
      <c r="AX116" s="12"/>
      <c r="AY116" s="12"/>
      <c r="AZ116" s="12"/>
      <c r="BA116" s="3"/>
      <c r="BB116" s="32"/>
    </row>
    <row r="117" spans="1:54" s="9" customFormat="1" hidden="1" x14ac:dyDescent="0.3">
      <c r="B117" s="12">
        <v>0.5</v>
      </c>
      <c r="C117" s="32">
        <f>IF(AND($C$5=320,$C$6=0.5),$N$139,0)</f>
        <v>0</v>
      </c>
      <c r="D117" s="32">
        <f>IF(AND($C$5=320,$C$6=0.5),$N$208,0)</f>
        <v>0</v>
      </c>
      <c r="E117" s="12"/>
      <c r="F117" s="12">
        <v>0.5</v>
      </c>
      <c r="G117" s="32">
        <f>IF(AND($C$5=280,$C$6=0.5),$N$139,0)</f>
        <v>0</v>
      </c>
      <c r="H117" s="32">
        <f>IF(AND($C$5=280,$C$6=0.5),$N$208,0)</f>
        <v>0</v>
      </c>
      <c r="K117" s="4" t="s">
        <v>360</v>
      </c>
      <c r="N117" s="46">
        <f>IF(N116=1,4,8.2/(1.05*N116))</f>
        <v>9.4043057254438178</v>
      </c>
      <c r="T117" s="9" t="s">
        <v>90</v>
      </c>
      <c r="AC117" s="45" t="s">
        <v>9</v>
      </c>
      <c r="AE117" s="51" t="s">
        <v>362</v>
      </c>
      <c r="AF117" s="23"/>
      <c r="AH117" s="3"/>
      <c r="AI117" s="3"/>
      <c r="AJ117" s="32"/>
      <c r="AK117" s="11"/>
      <c r="AL117" s="12"/>
      <c r="AM117" s="3"/>
      <c r="AN117" s="3"/>
      <c r="AO117" s="3"/>
      <c r="AP117" s="33"/>
      <c r="AQ117" s="23"/>
      <c r="AR117" s="11"/>
      <c r="AS117" s="35"/>
      <c r="AT117" s="12"/>
      <c r="AU117" s="12"/>
      <c r="AV117" s="3"/>
      <c r="AW117" s="3"/>
      <c r="AX117" s="12"/>
      <c r="AY117" s="3"/>
      <c r="AZ117" s="3"/>
      <c r="BA117" s="3"/>
      <c r="BB117" s="32"/>
    </row>
    <row r="118" spans="1:54" s="9" customFormat="1" hidden="1" x14ac:dyDescent="0.3">
      <c r="B118" s="12">
        <v>0.6</v>
      </c>
      <c r="C118" s="32">
        <f>IF(AND($C$5=320,$C$6=0.6),$N$139,0)</f>
        <v>0</v>
      </c>
      <c r="D118" s="32">
        <f>IF(AND($C$5=320,$C$6=0.6),$N$208,0)</f>
        <v>0</v>
      </c>
      <c r="E118" s="12"/>
      <c r="F118" s="12">
        <v>0.6</v>
      </c>
      <c r="G118" s="32">
        <f>IF(AND($C$5=280,$C$6=0.6),$N$139,0)</f>
        <v>0</v>
      </c>
      <c r="H118" s="32">
        <f>IF(AND($C$5=280,$C$6=0.6),$N$208,0)</f>
        <v>0</v>
      </c>
      <c r="K118" s="45" t="s">
        <v>358</v>
      </c>
      <c r="N118" s="46">
        <f>(O65/O56)/(28.4*N103*SQRT(N117))</f>
        <v>0.44661992434422854</v>
      </c>
      <c r="O118" s="9" t="str">
        <f>IF(N118&lt;0.673,"&lt;= 0.673","&gt; 0.673")</f>
        <v>&lt;= 0.673</v>
      </c>
      <c r="P118" s="26" t="s">
        <v>36</v>
      </c>
      <c r="Q118" s="32">
        <f>IF(N118&lt;=0.673,1,(N118-0.0055*(3+N116))/(N118*N118))</f>
        <v>1</v>
      </c>
      <c r="T118" s="9" t="s">
        <v>363</v>
      </c>
      <c r="Y118" s="23">
        <f>3*W105+3*W106+2*(X65+2*AA57*(SQRT(2)-1))</f>
        <v>141.35137134631117</v>
      </c>
      <c r="Z118" s="9" t="s">
        <v>0</v>
      </c>
      <c r="AC118" s="52" t="s">
        <v>10</v>
      </c>
      <c r="AE118" s="11" t="s">
        <v>360</v>
      </c>
      <c r="AF118" s="23"/>
      <c r="AH118" s="3"/>
      <c r="AI118" s="3"/>
      <c r="AJ118" s="32"/>
      <c r="AK118" s="11"/>
      <c r="AL118" s="12"/>
      <c r="AM118" s="3"/>
      <c r="AN118" s="3"/>
      <c r="AO118" s="3"/>
      <c r="AP118" s="33"/>
      <c r="AQ118" s="23"/>
      <c r="AR118" s="11"/>
      <c r="AS118" s="35"/>
      <c r="AT118" s="12"/>
      <c r="AU118" s="12"/>
      <c r="AV118" s="3"/>
      <c r="AW118" s="3"/>
      <c r="AX118" s="12"/>
      <c r="AY118" s="3"/>
      <c r="AZ118" s="3"/>
      <c r="BA118" s="3"/>
      <c r="BB118" s="32"/>
    </row>
    <row r="119" spans="1:54" s="9" customFormat="1" hidden="1" x14ac:dyDescent="0.3">
      <c r="B119" s="12">
        <v>0.7</v>
      </c>
      <c r="C119" s="32">
        <f>IF(AND($C$5=320,$C$6=0.7),$N$139,0)</f>
        <v>0</v>
      </c>
      <c r="D119" s="32">
        <f>IF(AND($C$5=320,$C$6=0.7),$N$208,0)</f>
        <v>0</v>
      </c>
      <c r="E119" s="12"/>
      <c r="F119" s="12">
        <v>0.7</v>
      </c>
      <c r="G119" s="32">
        <f>IF(AND($C$5=280,$C$6=0.7),$N$139,0)</f>
        <v>0</v>
      </c>
      <c r="H119" s="32">
        <f>IF(AND($C$5=280,$C$6=0.7),$N$208,0)</f>
        <v>0</v>
      </c>
      <c r="K119" s="45" t="s">
        <v>97</v>
      </c>
      <c r="N119" s="23">
        <f>Q118*O65</f>
        <v>25</v>
      </c>
      <c r="O119" s="9" t="s">
        <v>0</v>
      </c>
      <c r="P119" s="9" t="s">
        <v>248</v>
      </c>
      <c r="T119" s="9" t="s">
        <v>364</v>
      </c>
      <c r="Y119" s="23">
        <f>4*W110+2*W110+2*(W116+2*AA57*(SQRT(2)-1))</f>
        <v>140.32895125850237</v>
      </c>
      <c r="Z119" s="9" t="s">
        <v>0</v>
      </c>
      <c r="AC119" s="52" t="s">
        <v>11</v>
      </c>
      <c r="AE119" s="11" t="s">
        <v>365</v>
      </c>
      <c r="AF119" s="23"/>
      <c r="AH119" s="3"/>
      <c r="AI119" s="53"/>
      <c r="AJ119" s="32"/>
      <c r="AK119" s="11"/>
      <c r="AL119" s="12"/>
      <c r="AM119" s="3"/>
      <c r="AN119" s="3"/>
      <c r="AO119" s="3"/>
      <c r="AP119" s="33"/>
      <c r="AQ119" s="23"/>
      <c r="AR119" s="11"/>
      <c r="AS119" s="35"/>
      <c r="AU119" s="53"/>
      <c r="AV119" s="53"/>
      <c r="AW119" s="3"/>
      <c r="AX119" s="53"/>
      <c r="AY119" s="3"/>
      <c r="AZ119" s="3"/>
      <c r="BA119" s="53"/>
      <c r="BB119" s="32"/>
    </row>
    <row r="120" spans="1:54" s="9" customFormat="1" hidden="1" x14ac:dyDescent="0.3">
      <c r="B120" s="12">
        <v>0.75</v>
      </c>
      <c r="C120" s="32">
        <f>IF(AND($C$5=320,$C$6=0.75),$N$139,0)</f>
        <v>3.7465739070776127</v>
      </c>
      <c r="D120" s="32">
        <f>IF(AND($C$5=320,$C$6=0.75),$N$208,0)</f>
        <v>1.677473161537147</v>
      </c>
      <c r="E120" s="12"/>
      <c r="F120" s="12">
        <v>0.75</v>
      </c>
      <c r="G120" s="32">
        <f>IF(AND($C$5=280,$C$6=0.75),$N$139,0)</f>
        <v>0</v>
      </c>
      <c r="H120" s="32">
        <f>IF(AND($C$5=280,$C$6=0.75),$N$208,0)</f>
        <v>0</v>
      </c>
      <c r="I120" s="12"/>
      <c r="T120" s="9" t="s">
        <v>98</v>
      </c>
      <c r="W120" s="23">
        <f>MIN(Y118,Y119)</f>
        <v>140.32895125850237</v>
      </c>
      <c r="X120" s="9" t="s">
        <v>0</v>
      </c>
      <c r="AB120" s="11"/>
      <c r="AC120" s="54"/>
      <c r="AD120" s="53"/>
      <c r="AF120" s="53"/>
      <c r="AG120" s="53"/>
      <c r="AH120" s="53"/>
      <c r="AI120" s="53"/>
      <c r="AJ120" s="53"/>
      <c r="AK120" s="11"/>
      <c r="AL120" s="12"/>
      <c r="AM120" s="3"/>
      <c r="AN120" s="3"/>
      <c r="AO120" s="3"/>
      <c r="AP120" s="33"/>
      <c r="AQ120" s="23"/>
      <c r="AR120" s="11"/>
      <c r="AS120" s="35"/>
      <c r="AT120" s="11"/>
      <c r="AU120" s="54"/>
      <c r="AV120" s="53"/>
      <c r="AX120" s="53"/>
      <c r="AY120" s="53"/>
      <c r="AZ120" s="53"/>
      <c r="BA120" s="53"/>
      <c r="BB120" s="53"/>
    </row>
    <row r="121" spans="1:54" s="9" customFormat="1" hidden="1" x14ac:dyDescent="0.3">
      <c r="B121" s="12">
        <v>0.88</v>
      </c>
      <c r="C121" s="32">
        <f>IF(AND($C$5=320,$C$6=0.88),$N$139,0)</f>
        <v>0</v>
      </c>
      <c r="D121" s="32">
        <f>IF(AND($C$5=320,$C$6=0.88),$N$208,0)</f>
        <v>0</v>
      </c>
      <c r="F121" s="12">
        <v>0.88</v>
      </c>
      <c r="G121" s="32">
        <f>IF(AND($C$5=280,$C$6=0.88),$N$139,0)</f>
        <v>0</v>
      </c>
      <c r="H121" s="32">
        <f>IF(AND($C$5=280,$C$6=0.88),$N$208,0)</f>
        <v>0</v>
      </c>
      <c r="I121" s="12"/>
      <c r="K121" s="9" t="s">
        <v>54</v>
      </c>
      <c r="L121" s="23"/>
      <c r="AB121" s="11" t="s">
        <v>12</v>
      </c>
      <c r="AC121" s="26" t="s">
        <v>6</v>
      </c>
      <c r="AD121" s="11" t="s">
        <v>13</v>
      </c>
      <c r="AE121" s="4" t="s">
        <v>366</v>
      </c>
      <c r="AG121" s="41">
        <f>0.5*I62*D55</f>
        <v>0</v>
      </c>
      <c r="AH121" s="29" t="s">
        <v>0</v>
      </c>
      <c r="AK121" s="11"/>
      <c r="AL121" s="12"/>
      <c r="AM121" s="3"/>
      <c r="AN121" s="3"/>
      <c r="AO121" s="3"/>
      <c r="AP121" s="33"/>
      <c r="AQ121" s="23"/>
      <c r="AR121" s="11"/>
      <c r="AS121" s="35"/>
      <c r="AT121" s="11"/>
      <c r="AU121" s="23"/>
    </row>
    <row r="122" spans="1:54" s="9" customFormat="1" hidden="1" x14ac:dyDescent="0.3">
      <c r="B122" s="12">
        <v>1</v>
      </c>
      <c r="C122" s="32">
        <f>IF(AND($C$5=320,$C$6=1),$N$139,0)</f>
        <v>0</v>
      </c>
      <c r="D122" s="32">
        <f>IF(AND($C$5=320,$C$6=1),$N$208,0)</f>
        <v>0</v>
      </c>
      <c r="F122" s="12">
        <v>1</v>
      </c>
      <c r="G122" s="32">
        <f>IF(AND($C$5=280,$C$6=1),$N$139,0)</f>
        <v>0</v>
      </c>
      <c r="H122" s="32">
        <f>IF(AND($C$5=280,$C$6=1),$N$208,0)</f>
        <v>0</v>
      </c>
      <c r="I122" s="12"/>
      <c r="J122" s="11"/>
      <c r="K122" s="12" t="s">
        <v>25</v>
      </c>
      <c r="L122" s="12" t="s">
        <v>339</v>
      </c>
      <c r="M122" s="12" t="s">
        <v>30</v>
      </c>
      <c r="N122" s="12" t="s">
        <v>29</v>
      </c>
      <c r="O122" s="12" t="s">
        <v>31</v>
      </c>
      <c r="P122" s="12" t="s">
        <v>340</v>
      </c>
      <c r="Q122" s="12" t="s">
        <v>26</v>
      </c>
      <c r="R122" s="12" t="s">
        <v>341</v>
      </c>
      <c r="AD122" s="11" t="s">
        <v>15</v>
      </c>
      <c r="AE122" s="4" t="s">
        <v>366</v>
      </c>
      <c r="AG122" s="41">
        <f>0.5*I62*D55</f>
        <v>0</v>
      </c>
      <c r="AH122" s="29" t="s">
        <v>0</v>
      </c>
      <c r="AK122" s="11"/>
      <c r="AL122" s="26"/>
      <c r="AM122" s="3"/>
      <c r="AN122" s="3"/>
      <c r="AO122" s="3"/>
      <c r="AP122" s="33"/>
      <c r="AQ122" s="23"/>
      <c r="AR122" s="11"/>
      <c r="AS122" s="35"/>
    </row>
    <row r="123" spans="1:54" s="9" customFormat="1" hidden="1" x14ac:dyDescent="0.3">
      <c r="C123" s="32">
        <f>IF($C$6=0.45,C116,IF($C$6=0.5,C117,IF($C$6=0.6,C118,IF($C$6=0.7,C119,IF($C$6=0.75,C120,IF($C$6=0.88,C121,IF($C$6=1,C122)))))))</f>
        <v>3.7465739070776127</v>
      </c>
      <c r="D123" s="32">
        <f>IF($C$6=0.45,D116,IF($C$6=0.5,D117,IF($C$6=0.6,D118,IF($C$6=0.7,D119,IF($C$6=0.75,D120,IF($C$6=0.88,D121,IF($C$6=1,D122)))))))</f>
        <v>1.677473161537147</v>
      </c>
      <c r="G123" s="32">
        <f>IF($C$6=0.45,G116,IF($C$6=0.5,G117,IF($C$6=0.6,G118,IF($C$6=0.7,G119,IF($C$6=0.75,G120,IF($C$6=0.88,G121,IF($C$6=1,G122)))))))</f>
        <v>0</v>
      </c>
      <c r="H123" s="32">
        <f>IF($C$6=0.45,H116,IF($C$6=0.5,H117,IF($C$6=0.6,H118,IF($C$6=0.7,H119,IF($C$6=0.75,H120,IF($C$6=0.88,H121,IF($C$6=1,H122)))))))</f>
        <v>0</v>
      </c>
      <c r="J123" s="11">
        <v>1</v>
      </c>
      <c r="K123" s="12">
        <v>1</v>
      </c>
      <c r="L123" s="3">
        <v>20</v>
      </c>
      <c r="M123" s="3">
        <f>L123*K123</f>
        <v>20</v>
      </c>
      <c r="N123" s="3">
        <v>34</v>
      </c>
      <c r="O123" s="33">
        <f>M123*N123</f>
        <v>680</v>
      </c>
      <c r="P123" s="23">
        <f>O123*N123</f>
        <v>23120</v>
      </c>
      <c r="Q123" s="11">
        <v>0</v>
      </c>
      <c r="R123" s="35">
        <f>M123*Q123*Q123/12</f>
        <v>0</v>
      </c>
      <c r="AC123" s="26" t="s">
        <v>14</v>
      </c>
      <c r="AD123" s="11" t="s">
        <v>13</v>
      </c>
      <c r="AE123" s="53" t="s">
        <v>367</v>
      </c>
      <c r="AG123" s="41">
        <f>2*I62*D55/(5-C60)</f>
        <v>0</v>
      </c>
      <c r="AH123" s="29" t="s">
        <v>0</v>
      </c>
    </row>
    <row r="124" spans="1:54" s="9" customFormat="1" hidden="1" x14ac:dyDescent="0.3">
      <c r="C124" s="32"/>
      <c r="D124" s="32"/>
      <c r="G124" s="32"/>
      <c r="H124" s="32"/>
      <c r="J124" s="11">
        <v>2</v>
      </c>
      <c r="K124" s="12">
        <v>2</v>
      </c>
      <c r="L124" s="3">
        <v>9.61</v>
      </c>
      <c r="M124" s="3">
        <f t="shared" ref="M124:M129" si="11">L124*K124</f>
        <v>19.22</v>
      </c>
      <c r="N124" s="3">
        <v>30</v>
      </c>
      <c r="O124" s="33">
        <f t="shared" ref="O124:O129" si="12">M124*N124</f>
        <v>576.59999999999991</v>
      </c>
      <c r="P124" s="23">
        <f t="shared" ref="P124:P129" si="13">O124*N124</f>
        <v>17297.999999999996</v>
      </c>
      <c r="Q124" s="11">
        <v>8</v>
      </c>
      <c r="R124" s="35">
        <f t="shared" ref="R124:R129" si="14">M124*Q124*Q124/12</f>
        <v>102.50666666666666</v>
      </c>
      <c r="T124" s="9" t="s">
        <v>54</v>
      </c>
      <c r="AD124" s="11" t="s">
        <v>15</v>
      </c>
      <c r="AE124" s="50" t="s">
        <v>17</v>
      </c>
      <c r="AG124" s="41">
        <f>I62*D55-AG123</f>
        <v>0</v>
      </c>
      <c r="AH124" s="29" t="s">
        <v>0</v>
      </c>
      <c r="AO124" s="23"/>
      <c r="AP124" s="4"/>
      <c r="AQ124" s="12"/>
    </row>
    <row r="125" spans="1:54" s="9" customFormat="1" hidden="1" x14ac:dyDescent="0.3">
      <c r="B125" s="29"/>
      <c r="C125" s="12"/>
      <c r="J125" s="11">
        <v>3</v>
      </c>
      <c r="K125" s="12">
        <v>2</v>
      </c>
      <c r="L125" s="3">
        <v>4.47</v>
      </c>
      <c r="M125" s="3">
        <f t="shared" si="11"/>
        <v>8.94</v>
      </c>
      <c r="N125" s="3">
        <v>23.5</v>
      </c>
      <c r="O125" s="33">
        <f t="shared" si="12"/>
        <v>210.08999999999997</v>
      </c>
      <c r="P125" s="23">
        <f t="shared" si="13"/>
        <v>4937.1149999999998</v>
      </c>
      <c r="Q125" s="11">
        <v>4</v>
      </c>
      <c r="R125" s="35">
        <f t="shared" si="14"/>
        <v>11.92</v>
      </c>
      <c r="S125" s="11"/>
      <c r="T125" s="12" t="s">
        <v>25</v>
      </c>
      <c r="U125" s="12" t="s">
        <v>339</v>
      </c>
      <c r="V125" s="12" t="s">
        <v>30</v>
      </c>
      <c r="W125" s="12" t="s">
        <v>29</v>
      </c>
      <c r="X125" s="12" t="s">
        <v>31</v>
      </c>
      <c r="Y125" s="12" t="s">
        <v>340</v>
      </c>
      <c r="Z125" s="12" t="s">
        <v>26</v>
      </c>
      <c r="AA125" s="12" t="s">
        <v>341</v>
      </c>
      <c r="AC125" s="26" t="s">
        <v>16</v>
      </c>
      <c r="AD125" s="11" t="s">
        <v>13</v>
      </c>
      <c r="AE125" s="50" t="s">
        <v>18</v>
      </c>
      <c r="AG125" s="41">
        <f>0.4*I62*D55</f>
        <v>0</v>
      </c>
      <c r="AH125" s="29" t="s">
        <v>0</v>
      </c>
      <c r="AO125" s="23"/>
      <c r="AP125" s="4"/>
    </row>
    <row r="126" spans="1:54" s="9" customFormat="1" hidden="1" x14ac:dyDescent="0.3">
      <c r="C126" s="12"/>
      <c r="J126" s="11">
        <v>4</v>
      </c>
      <c r="K126" s="12">
        <v>2</v>
      </c>
      <c r="L126" s="3">
        <v>25.84</v>
      </c>
      <c r="M126" s="3">
        <f t="shared" si="11"/>
        <v>51.68</v>
      </c>
      <c r="N126" s="3">
        <v>10.75</v>
      </c>
      <c r="O126" s="33">
        <f t="shared" si="12"/>
        <v>555.55999999999995</v>
      </c>
      <c r="P126" s="23">
        <f t="shared" si="13"/>
        <v>5972.2699999999995</v>
      </c>
      <c r="Q126" s="11">
        <v>21.5</v>
      </c>
      <c r="R126" s="35">
        <f t="shared" si="14"/>
        <v>1990.7566666666664</v>
      </c>
      <c r="S126" s="11">
        <v>1</v>
      </c>
      <c r="T126" s="12">
        <v>2</v>
      </c>
      <c r="U126" s="3">
        <f>U83</f>
        <v>10</v>
      </c>
      <c r="V126" s="3">
        <f>T126*U126</f>
        <v>20</v>
      </c>
      <c r="W126" s="3">
        <f>W83</f>
        <v>34.25</v>
      </c>
      <c r="X126" s="33">
        <f>V126*W126</f>
        <v>685</v>
      </c>
      <c r="Y126" s="23">
        <f>X126*W126</f>
        <v>23461.25</v>
      </c>
      <c r="Z126" s="11">
        <f>Z83</f>
        <v>0</v>
      </c>
      <c r="AA126" s="35">
        <f>Z126*Z126*V126/12</f>
        <v>0</v>
      </c>
      <c r="AD126" s="11" t="s">
        <v>15</v>
      </c>
      <c r="AE126" s="50" t="s">
        <v>19</v>
      </c>
      <c r="AG126" s="41">
        <f>0.6*I62*D55</f>
        <v>0</v>
      </c>
      <c r="AH126" s="29" t="s">
        <v>0</v>
      </c>
      <c r="AO126" s="23"/>
      <c r="AP126" s="4"/>
    </row>
    <row r="127" spans="1:54" s="9" customFormat="1" hidden="1" x14ac:dyDescent="0.3">
      <c r="C127" s="12"/>
      <c r="J127" s="11">
        <v>5</v>
      </c>
      <c r="K127" s="12">
        <v>2</v>
      </c>
      <c r="L127" s="3">
        <f>Q106</f>
        <v>35.947889961421268</v>
      </c>
      <c r="M127" s="3">
        <f t="shared" si="11"/>
        <v>71.895779922842536</v>
      </c>
      <c r="N127" s="3">
        <v>0</v>
      </c>
      <c r="O127" s="33">
        <f t="shared" si="12"/>
        <v>0</v>
      </c>
      <c r="P127" s="23">
        <f t="shared" si="13"/>
        <v>0</v>
      </c>
      <c r="Q127" s="11">
        <v>0</v>
      </c>
      <c r="R127" s="35">
        <f t="shared" si="14"/>
        <v>0</v>
      </c>
      <c r="S127" s="11">
        <v>2</v>
      </c>
      <c r="T127" s="12">
        <v>2</v>
      </c>
      <c r="U127" s="3">
        <f>U84</f>
        <v>9.9323427714554757</v>
      </c>
      <c r="V127" s="3">
        <f t="shared" ref="V127:V130" si="15">T127*U127</f>
        <v>19.864685542910951</v>
      </c>
      <c r="W127" s="3">
        <f>W84</f>
        <v>30.125</v>
      </c>
      <c r="X127" s="33">
        <f t="shared" ref="X127:X130" si="16">V127*W127</f>
        <v>598.4236519801924</v>
      </c>
      <c r="Y127" s="23">
        <f t="shared" ref="Y127:Y130" si="17">X127*W127</f>
        <v>18027.512515903298</v>
      </c>
      <c r="Z127" s="11">
        <f>Z84</f>
        <v>8.25</v>
      </c>
      <c r="AA127" s="35">
        <f t="shared" ref="AA127:AA130" si="18">Z127*Z127*V127/12</f>
        <v>112.67001331369805</v>
      </c>
      <c r="AL127" s="45"/>
      <c r="AO127" s="23"/>
    </row>
    <row r="128" spans="1:54" s="9" customFormat="1" hidden="1" x14ac:dyDescent="0.3">
      <c r="C128" s="12"/>
      <c r="F128" s="26" t="s">
        <v>420</v>
      </c>
      <c r="G128" s="12">
        <v>1</v>
      </c>
      <c r="J128" s="11">
        <v>6</v>
      </c>
      <c r="K128" s="12">
        <v>2</v>
      </c>
      <c r="L128" s="3">
        <v>2.5</v>
      </c>
      <c r="M128" s="3">
        <f t="shared" si="11"/>
        <v>5</v>
      </c>
      <c r="N128" s="3">
        <v>1</v>
      </c>
      <c r="O128" s="33">
        <f t="shared" si="12"/>
        <v>5</v>
      </c>
      <c r="P128" s="23">
        <f t="shared" si="13"/>
        <v>5</v>
      </c>
      <c r="Q128" s="9">
        <v>2</v>
      </c>
      <c r="R128" s="35">
        <f t="shared" si="14"/>
        <v>1.6666666666666667</v>
      </c>
      <c r="S128" s="11">
        <v>3</v>
      </c>
      <c r="T128" s="12">
        <v>2</v>
      </c>
      <c r="U128" s="3">
        <f>U85</f>
        <v>4.4721359549995796</v>
      </c>
      <c r="V128" s="3">
        <f t="shared" si="15"/>
        <v>8.9442719099991592</v>
      </c>
      <c r="W128" s="3">
        <f>W85</f>
        <v>23.625</v>
      </c>
      <c r="X128" s="33">
        <f t="shared" si="16"/>
        <v>211.30842387373013</v>
      </c>
      <c r="Y128" s="23">
        <f t="shared" si="17"/>
        <v>4992.1615140168742</v>
      </c>
      <c r="Z128" s="11">
        <f>Z85</f>
        <v>4</v>
      </c>
      <c r="AA128" s="35">
        <f t="shared" si="18"/>
        <v>11.925695879998878</v>
      </c>
    </row>
    <row r="129" spans="1:31" s="9" customFormat="1" hidden="1" x14ac:dyDescent="0.3">
      <c r="B129" s="12"/>
      <c r="C129" s="12" t="s">
        <v>299</v>
      </c>
      <c r="D129" s="9" t="s">
        <v>300</v>
      </c>
      <c r="F129" s="12"/>
      <c r="G129" s="12"/>
      <c r="H129" s="12"/>
      <c r="J129" s="11">
        <v>7</v>
      </c>
      <c r="K129" s="12">
        <v>1</v>
      </c>
      <c r="L129" s="3">
        <f>Q111</f>
        <v>25</v>
      </c>
      <c r="M129" s="3">
        <f t="shared" si="11"/>
        <v>25</v>
      </c>
      <c r="N129" s="3">
        <v>2</v>
      </c>
      <c r="O129" s="33">
        <f t="shared" si="12"/>
        <v>50</v>
      </c>
      <c r="P129" s="23">
        <f t="shared" si="13"/>
        <v>100</v>
      </c>
      <c r="Q129" s="11">
        <v>0</v>
      </c>
      <c r="R129" s="35">
        <f t="shared" si="14"/>
        <v>0</v>
      </c>
      <c r="S129" s="11">
        <v>4</v>
      </c>
      <c r="T129" s="12">
        <v>2</v>
      </c>
      <c r="U129" s="3">
        <f>U86</f>
        <v>26.034777264572686</v>
      </c>
      <c r="V129" s="3">
        <f t="shared" si="15"/>
        <v>52.069554529145371</v>
      </c>
      <c r="W129" s="3">
        <f>W86</f>
        <v>10.8125</v>
      </c>
      <c r="X129" s="33">
        <f t="shared" si="16"/>
        <v>563.00205834638427</v>
      </c>
      <c r="Y129" s="23">
        <f t="shared" si="17"/>
        <v>6087.4597558702799</v>
      </c>
      <c r="Z129" s="11">
        <f>Z86</f>
        <v>21.625</v>
      </c>
      <c r="AA129" s="35">
        <f t="shared" si="18"/>
        <v>2029.1532519567602</v>
      </c>
    </row>
    <row r="130" spans="1:31" s="9" customFormat="1" hidden="1" x14ac:dyDescent="0.3">
      <c r="B130" s="3"/>
      <c r="C130" s="12" t="s">
        <v>301</v>
      </c>
      <c r="D130" s="23">
        <f>(2000/L55)*D140*C6*C6*SQRT(C5/1000*O60/1000)*(1-0.1*SQRT(O57/C6))*(0.5+SQRT(0.02*G130/C6))*(2.4+(L64/90)^2/G128)</f>
        <v>12.371864097022595</v>
      </c>
      <c r="E130" s="9" t="s">
        <v>172</v>
      </c>
      <c r="F130" s="3" t="s">
        <v>302</v>
      </c>
      <c r="G130" s="12">
        <f>F24</f>
        <v>40</v>
      </c>
      <c r="H130" s="3"/>
      <c r="K130" s="26" t="s">
        <v>342</v>
      </c>
      <c r="L130" s="3"/>
      <c r="M130" s="3">
        <f>SUM(M123:M129)</f>
        <v>201.73577992284254</v>
      </c>
      <c r="N130" s="3"/>
      <c r="O130" s="33">
        <f>SUM(O123:O129)</f>
        <v>2077.25</v>
      </c>
      <c r="P130" s="23">
        <f>SUM(P123:P129)</f>
        <v>51432.384999999995</v>
      </c>
      <c r="Q130" s="11"/>
      <c r="R130" s="35">
        <f>SUM(R123:R127)</f>
        <v>2105.1833333333329</v>
      </c>
      <c r="S130" s="11">
        <v>5</v>
      </c>
      <c r="T130" s="12">
        <v>1</v>
      </c>
      <c r="U130" s="3">
        <f>W120</f>
        <v>140.32895125850237</v>
      </c>
      <c r="V130" s="3">
        <f t="shared" si="15"/>
        <v>140.32895125850237</v>
      </c>
      <c r="W130" s="3">
        <f>W87</f>
        <v>0</v>
      </c>
      <c r="X130" s="33">
        <f t="shared" si="16"/>
        <v>0</v>
      </c>
      <c r="Y130" s="23">
        <f t="shared" si="17"/>
        <v>0</v>
      </c>
      <c r="Z130" s="11">
        <f>Z87</f>
        <v>0</v>
      </c>
      <c r="AA130" s="35">
        <f t="shared" si="18"/>
        <v>0</v>
      </c>
    </row>
    <row r="131" spans="1:31" s="9" customFormat="1" hidden="1" x14ac:dyDescent="0.3">
      <c r="B131" s="3"/>
      <c r="C131" s="12" t="s">
        <v>303</v>
      </c>
      <c r="D131" s="23">
        <f>(2000/L55)*D141*C6*C6*SQRT(C5/1000*O60/1000)*(1-0.1*SQRT(O57/C6))*(0.5+SQRT(0.02*G131/C6))*(2.4+(L64/90)^2)/G128</f>
        <v>28.490739942357283</v>
      </c>
      <c r="E131" s="9" t="s">
        <v>172</v>
      </c>
      <c r="F131" s="12" t="s">
        <v>304</v>
      </c>
      <c r="G131" s="12">
        <f>F25</f>
        <v>60</v>
      </c>
      <c r="H131" s="3"/>
      <c r="S131" s="11"/>
      <c r="T131" s="26" t="s">
        <v>342</v>
      </c>
      <c r="U131" s="3"/>
      <c r="V131" s="3">
        <f>SUM(V126:V130)</f>
        <v>241.20746324055784</v>
      </c>
      <c r="W131" s="3"/>
      <c r="X131" s="33">
        <f>SUM(X126:X130)</f>
        <v>2057.7341342003069</v>
      </c>
      <c r="Y131" s="23">
        <f>SUM(Y126:Y130)</f>
        <v>52568.383785790451</v>
      </c>
      <c r="Z131" s="11"/>
      <c r="AA131" s="35">
        <f>SUM(AA126:AA130)</f>
        <v>2153.748961150457</v>
      </c>
    </row>
    <row r="132" spans="1:31" s="9" customFormat="1" hidden="1" x14ac:dyDescent="0.3">
      <c r="B132" s="3"/>
      <c r="C132" s="12"/>
      <c r="F132" s="12"/>
      <c r="G132" s="12"/>
      <c r="H132" s="3"/>
      <c r="J132" s="11"/>
      <c r="K132" s="9" t="s">
        <v>343</v>
      </c>
      <c r="N132" s="23">
        <f>O130/M130</f>
        <v>10.29688437417736</v>
      </c>
      <c r="O132" s="4" t="s">
        <v>0</v>
      </c>
      <c r="P132" s="9" t="s">
        <v>140</v>
      </c>
      <c r="Q132" s="3">
        <f>L65/2</f>
        <v>17.125</v>
      </c>
    </row>
    <row r="133" spans="1:31" s="9" customFormat="1" ht="15.6" hidden="1" x14ac:dyDescent="0.35">
      <c r="B133" s="3"/>
      <c r="C133" s="12" t="s">
        <v>173</v>
      </c>
      <c r="D133" s="12" t="s">
        <v>287</v>
      </c>
      <c r="E133" s="12" t="s">
        <v>414</v>
      </c>
      <c r="F133" s="12" t="s">
        <v>305</v>
      </c>
      <c r="G133" s="12" t="s">
        <v>421</v>
      </c>
      <c r="H133" s="3"/>
      <c r="J133" s="11"/>
      <c r="K133" s="9" t="s">
        <v>105</v>
      </c>
      <c r="N133" s="23">
        <f>O56*M130</f>
        <v>151.3018349421319</v>
      </c>
      <c r="O133" s="4" t="s">
        <v>344</v>
      </c>
      <c r="P133" s="23"/>
      <c r="Q133" s="11"/>
      <c r="R133" s="35"/>
      <c r="T133" s="9" t="s">
        <v>343</v>
      </c>
      <c r="W133" s="23">
        <f>X131/V131</f>
        <v>8.530972079201856</v>
      </c>
      <c r="X133" s="4" t="s">
        <v>0</v>
      </c>
      <c r="Y133" s="12" t="s">
        <v>77</v>
      </c>
      <c r="Z133" s="9">
        <f>U65/2</f>
        <v>17.125</v>
      </c>
      <c r="AB133" s="9" t="s">
        <v>368</v>
      </c>
      <c r="AD133" s="23">
        <f>W133/SIN(U63)</f>
        <v>10.270610771436248</v>
      </c>
      <c r="AE133" s="9" t="s">
        <v>0</v>
      </c>
    </row>
    <row r="134" spans="1:31" s="9" customFormat="1" hidden="1" x14ac:dyDescent="0.3">
      <c r="B134" s="3"/>
      <c r="C134" s="12"/>
      <c r="F134" s="12" t="s">
        <v>306</v>
      </c>
      <c r="G134" s="12" t="s">
        <v>306</v>
      </c>
      <c r="H134" s="3"/>
      <c r="J134" s="11"/>
      <c r="K134" s="9" t="s">
        <v>369</v>
      </c>
      <c r="L134" s="26"/>
      <c r="M134" s="3"/>
      <c r="N134" s="42">
        <f>O56*(P130+R130-M130*N132*N132)</f>
        <v>24111.273950305054</v>
      </c>
      <c r="O134" s="43" t="s">
        <v>346</v>
      </c>
      <c r="P134" s="11" t="s">
        <v>138</v>
      </c>
      <c r="Q134" s="3">
        <f>N134/(10*L55)</f>
        <v>12.055636975152527</v>
      </c>
      <c r="R134" s="3" t="s">
        <v>131</v>
      </c>
      <c r="T134" s="9" t="s">
        <v>104</v>
      </c>
      <c r="U134" s="9" t="s">
        <v>55</v>
      </c>
      <c r="W134" s="23">
        <f>U65-W133</f>
        <v>25.719027920798144</v>
      </c>
      <c r="X134" s="4" t="s">
        <v>0</v>
      </c>
      <c r="AB134" s="45" t="s">
        <v>85</v>
      </c>
      <c r="AD134" s="23">
        <f>0.4*AD133</f>
        <v>4.1082443085744993</v>
      </c>
      <c r="AE134" s="9" t="s">
        <v>0</v>
      </c>
    </row>
    <row r="135" spans="1:31" s="9" customFormat="1" hidden="1" x14ac:dyDescent="0.3">
      <c r="C135" s="12">
        <v>1</v>
      </c>
      <c r="D135" s="12">
        <v>0.5</v>
      </c>
      <c r="E135" s="12">
        <v>0.5</v>
      </c>
      <c r="F135" s="3">
        <f>100*$D$131/(D135*$C$8)-$E$84</f>
        <v>1417.6238946178642</v>
      </c>
      <c r="G135" s="3">
        <f>100*$D$130/(E135*$C$8)-$E$84</f>
        <v>611.68010235112968</v>
      </c>
      <c r="P135" s="11" t="s">
        <v>139</v>
      </c>
      <c r="Q135" s="3">
        <f>10*Q134/N132</f>
        <v>11.708043459617539</v>
      </c>
      <c r="R135" s="9" t="s">
        <v>113</v>
      </c>
      <c r="T135" s="45" t="s">
        <v>56</v>
      </c>
      <c r="W135" s="23">
        <f>-W133/W134</f>
        <v>-0.33169885368424579</v>
      </c>
      <c r="AB135" s="45" t="s">
        <v>86</v>
      </c>
      <c r="AD135" s="23">
        <f>0.6*AD133</f>
        <v>6.1623664628617485</v>
      </c>
      <c r="AE135" s="9" t="s">
        <v>0</v>
      </c>
    </row>
    <row r="136" spans="1:31" s="9" customFormat="1" hidden="1" x14ac:dyDescent="0.3">
      <c r="C136" s="12">
        <v>2</v>
      </c>
      <c r="D136" s="12">
        <v>1.25</v>
      </c>
      <c r="E136" s="12">
        <v>0.375</v>
      </c>
      <c r="F136" s="3">
        <f>100*$D$131/(D136*$C$8)-$E$84</f>
        <v>562.90169634714562</v>
      </c>
      <c r="G136" s="3">
        <f>100*$D$130/(E136*$C$8)-$E$84</f>
        <v>817.87783730150625</v>
      </c>
      <c r="H136" s="16"/>
      <c r="I136" s="3"/>
      <c r="AB136" s="45"/>
      <c r="AD136" s="23"/>
    </row>
    <row r="137" spans="1:31" s="9" customFormat="1" hidden="1" x14ac:dyDescent="0.3">
      <c r="C137" s="12">
        <v>3</v>
      </c>
      <c r="D137" s="12">
        <v>1.1000000000000001</v>
      </c>
      <c r="E137" s="12">
        <v>0.4</v>
      </c>
      <c r="F137" s="3">
        <f>100*$D$131/(D137*$C$8)-$E$84</f>
        <v>640.60371437175627</v>
      </c>
      <c r="G137" s="3">
        <f>100*$D$130/(E137*$C$8)-$E$84</f>
        <v>766.32840356391205</v>
      </c>
      <c r="H137" s="16"/>
      <c r="I137" s="3"/>
      <c r="K137" s="52" t="s">
        <v>130</v>
      </c>
      <c r="M137" s="11"/>
      <c r="N137" s="23"/>
      <c r="T137" s="45" t="s">
        <v>78</v>
      </c>
      <c r="U137" s="45"/>
      <c r="W137" s="23"/>
    </row>
    <row r="138" spans="1:31" s="9" customFormat="1" hidden="1" x14ac:dyDescent="0.3">
      <c r="C138" s="12">
        <v>4</v>
      </c>
      <c r="D138" s="12">
        <v>1.143</v>
      </c>
      <c r="E138" s="12">
        <v>0.39300000000000002</v>
      </c>
      <c r="F138" s="3">
        <f>100*$D$131/(D138*$C$8)-$E$84</f>
        <v>616.24393910886442</v>
      </c>
      <c r="G138" s="3">
        <f>100*$D$130/(E138*$C$8)-$E$84</f>
        <v>780.10115303578834</v>
      </c>
      <c r="H138" s="16"/>
      <c r="I138" s="3"/>
      <c r="K138" s="52" t="s">
        <v>112</v>
      </c>
      <c r="M138" s="11"/>
      <c r="N138" s="23"/>
      <c r="T138" s="45" t="s">
        <v>89</v>
      </c>
      <c r="U138" s="26">
        <f>AA54</f>
        <v>22</v>
      </c>
      <c r="V138" s="48" t="s">
        <v>0</v>
      </c>
    </row>
    <row r="139" spans="1:31" s="9" customFormat="1" ht="16.2" hidden="1" x14ac:dyDescent="0.3">
      <c r="C139" s="12">
        <v>5</v>
      </c>
      <c r="D139" s="12">
        <v>1.1319999999999999</v>
      </c>
      <c r="E139" s="12">
        <v>0.39500000000000002</v>
      </c>
      <c r="F139" s="3">
        <f>100*$D$131/(D139*$C$8)-$E$84</f>
        <v>622.29935205736047</v>
      </c>
      <c r="G139" s="3">
        <f>100*$D$130/(E139*$C$8)-$E$84</f>
        <v>776.11627072927809</v>
      </c>
      <c r="I139" s="16"/>
      <c r="K139" s="45" t="s">
        <v>370</v>
      </c>
      <c r="N139" s="23">
        <f>O59*Q135/Q139/1000</f>
        <v>3.7465739070776127</v>
      </c>
      <c r="O139" s="9" t="s">
        <v>22</v>
      </c>
      <c r="P139" s="26" t="s">
        <v>371</v>
      </c>
      <c r="Q139" s="12">
        <v>1</v>
      </c>
      <c r="T139" s="45" t="s">
        <v>79</v>
      </c>
      <c r="Y139" s="23"/>
    </row>
    <row r="140" spans="1:31" s="9" customFormat="1" ht="15.6" hidden="1" x14ac:dyDescent="0.35">
      <c r="C140" s="44" t="s">
        <v>422</v>
      </c>
      <c r="D140" s="12">
        <v>7.4999999999999997E-2</v>
      </c>
      <c r="F140" s="3">
        <f>IF(C9=1,F135,IF(C9=2,F136,IF(C9=3,F137,IF(C9=4,F138,IF(C9=5,F139)))))</f>
        <v>640.60371437175627</v>
      </c>
      <c r="G140" s="3">
        <f>IF(C9=1,G135,IF(C9=2,G136,IF(C9=3,G137,IF(C9=4,G138,IF(C9=5,G139)))))</f>
        <v>766.32840356391205</v>
      </c>
      <c r="H140" s="12"/>
      <c r="I140" s="16"/>
      <c r="T140" s="45" t="s">
        <v>372</v>
      </c>
      <c r="Y140" s="55" t="s">
        <v>373</v>
      </c>
      <c r="Z140" s="9">
        <v>1</v>
      </c>
    </row>
    <row r="141" spans="1:31" s="9" customFormat="1" ht="15.6" hidden="1" x14ac:dyDescent="0.3">
      <c r="C141" s="44" t="s">
        <v>423</v>
      </c>
      <c r="D141" s="12">
        <v>0.15</v>
      </c>
      <c r="K141" s="45" t="s">
        <v>78</v>
      </c>
      <c r="T141" s="45" t="s">
        <v>80</v>
      </c>
      <c r="V141" s="23">
        <f>0.76*X56*SQRT(X60/(Z140*Z141))</f>
        <v>14.601904841492431</v>
      </c>
      <c r="W141" s="9" t="s">
        <v>0</v>
      </c>
      <c r="Y141" s="55" t="s">
        <v>374</v>
      </c>
      <c r="Z141" s="9">
        <f>X59</f>
        <v>320</v>
      </c>
      <c r="AA141" s="9" t="s">
        <v>4</v>
      </c>
    </row>
    <row r="142" spans="1:31" s="9" customFormat="1" hidden="1" x14ac:dyDescent="0.3">
      <c r="C142" s="12"/>
      <c r="D142" s="11"/>
      <c r="E142" s="3"/>
      <c r="I142" s="16"/>
      <c r="K142" s="45" t="s">
        <v>89</v>
      </c>
      <c r="L142" s="42">
        <f>R54</f>
        <v>22</v>
      </c>
      <c r="M142" s="48" t="s">
        <v>0</v>
      </c>
      <c r="N142" s="23"/>
      <c r="O142" s="29"/>
      <c r="T142" s="45" t="s">
        <v>81</v>
      </c>
      <c r="V142" s="23">
        <f>V141</f>
        <v>14.601904841492431</v>
      </c>
      <c r="W142" s="9" t="s">
        <v>0</v>
      </c>
    </row>
    <row r="143" spans="1:31" s="9" customFormat="1" hidden="1" x14ac:dyDescent="0.3">
      <c r="C143" s="12"/>
      <c r="D143" s="11"/>
      <c r="E143" s="3"/>
      <c r="F143" s="11"/>
      <c r="G143" s="23"/>
      <c r="H143" s="12"/>
      <c r="I143" s="16"/>
      <c r="K143" s="45" t="s">
        <v>79</v>
      </c>
      <c r="P143" s="23"/>
      <c r="T143" s="45" t="s">
        <v>82</v>
      </c>
      <c r="V143" s="23">
        <f>1.5*V141</f>
        <v>21.902857262238648</v>
      </c>
      <c r="W143" s="9" t="s">
        <v>0</v>
      </c>
    </row>
    <row r="144" spans="1:31" s="9" customFormat="1" ht="15.6" hidden="1" x14ac:dyDescent="0.35">
      <c r="A144" s="44"/>
      <c r="B144" s="12"/>
      <c r="C144" s="12"/>
      <c r="I144" s="16"/>
      <c r="K144" s="45" t="s">
        <v>372</v>
      </c>
      <c r="P144" s="55" t="s">
        <v>373</v>
      </c>
      <c r="Q144" s="9">
        <v>1</v>
      </c>
      <c r="T144" s="45" t="s">
        <v>83</v>
      </c>
      <c r="V144" s="23">
        <f>V142+V143</f>
        <v>36.504762103731082</v>
      </c>
      <c r="W144" s="9" t="s">
        <v>0</v>
      </c>
      <c r="X144" s="40" t="s">
        <v>84</v>
      </c>
      <c r="Y144" s="23">
        <f>AA63</f>
        <v>26.034777264572686</v>
      </c>
      <c r="Z144" s="9" t="s">
        <v>0</v>
      </c>
    </row>
    <row r="145" spans="1:28" s="9" customFormat="1" ht="15.6" hidden="1" x14ac:dyDescent="0.3">
      <c r="C145" s="12"/>
      <c r="K145" s="45" t="s">
        <v>80</v>
      </c>
      <c r="M145" s="23">
        <f>0.76*O56*SQRT(O60/(Q144*Q145))</f>
        <v>14.601904841492431</v>
      </c>
      <c r="N145" s="9" t="s">
        <v>0</v>
      </c>
      <c r="P145" s="55" t="s">
        <v>374</v>
      </c>
      <c r="Q145" s="9">
        <f>O59</f>
        <v>320</v>
      </c>
      <c r="R145" s="9" t="s">
        <v>4</v>
      </c>
      <c r="X145" s="12" t="str">
        <f>IF(V144&lt;Y145,"&lt; Sn=","&gt; Sn=")</f>
        <v>&gt; Sn=</v>
      </c>
      <c r="Y145" s="23">
        <f>W133/SIN(U63)</f>
        <v>10.270610771436248</v>
      </c>
      <c r="Z145" s="9" t="s">
        <v>0</v>
      </c>
    </row>
    <row r="146" spans="1:28" s="9" customFormat="1" hidden="1" x14ac:dyDescent="0.3">
      <c r="B146" s="27"/>
      <c r="C146" s="12"/>
      <c r="F146" s="11"/>
      <c r="G146" s="23"/>
      <c r="H146" s="12"/>
      <c r="K146" s="45" t="s">
        <v>81</v>
      </c>
      <c r="M146" s="23">
        <f>M145</f>
        <v>14.601904841492431</v>
      </c>
      <c r="N146" s="9" t="s">
        <v>0</v>
      </c>
      <c r="T146" s="9" t="str">
        <f>IF(V144&gt;Y145,"Врши се редукција","Није потребна редукција")</f>
        <v>Врши се редукција</v>
      </c>
    </row>
    <row r="147" spans="1:28" s="9" customFormat="1" hidden="1" x14ac:dyDescent="0.3">
      <c r="B147" s="12"/>
      <c r="C147" s="12"/>
      <c r="D147" s="12"/>
      <c r="E147" s="12"/>
      <c r="K147" s="45" t="s">
        <v>82</v>
      </c>
      <c r="M147" s="23">
        <f>1.5*M145</f>
        <v>21.902857262238648</v>
      </c>
      <c r="N147" s="9" t="s">
        <v>0</v>
      </c>
      <c r="T147" s="45" t="s">
        <v>87</v>
      </c>
      <c r="U147" s="9" t="str">
        <f>IF(V144&lt;Y145,"","0.4Sn =")</f>
        <v>0.4Sn =</v>
      </c>
      <c r="V147" s="23">
        <f>IF(V144&lt;Y145,V142,0.4*Y145)</f>
        <v>4.1082443085744993</v>
      </c>
      <c r="W147" s="9" t="s">
        <v>0</v>
      </c>
      <c r="Y147" s="9" t="s">
        <v>99</v>
      </c>
      <c r="Z147" s="23">
        <f>V147*SIN(U63)</f>
        <v>3.4123888316807425</v>
      </c>
      <c r="AA147" s="9" t="s">
        <v>0</v>
      </c>
    </row>
    <row r="148" spans="1:28" s="9" customFormat="1" hidden="1" x14ac:dyDescent="0.3">
      <c r="B148" s="12"/>
      <c r="C148" s="12"/>
      <c r="D148" s="12"/>
      <c r="E148" s="12"/>
      <c r="K148" s="45" t="s">
        <v>83</v>
      </c>
      <c r="M148" s="23">
        <f>M146+M147</f>
        <v>36.504762103731082</v>
      </c>
      <c r="N148" s="9" t="s">
        <v>0</v>
      </c>
      <c r="O148" s="40" t="s">
        <v>84</v>
      </c>
      <c r="P148" s="23">
        <f>R63</f>
        <v>26.034777264572686</v>
      </c>
      <c r="Q148" s="9" t="s">
        <v>0</v>
      </c>
      <c r="T148" s="45" t="s">
        <v>88</v>
      </c>
      <c r="U148" s="9" t="str">
        <f>IF(V144&lt;Y145,"","0.6 Sn")</f>
        <v>0.6 Sn</v>
      </c>
      <c r="V148" s="23">
        <f>IF(V144&lt;Y145,V143,0.6*Y145)</f>
        <v>6.1623664628617485</v>
      </c>
      <c r="W148" s="9" t="s">
        <v>0</v>
      </c>
      <c r="Y148" s="9" t="s">
        <v>100</v>
      </c>
      <c r="Z148" s="23">
        <f>V148*SIN(U63)</f>
        <v>5.118583247521113</v>
      </c>
      <c r="AA148" s="9" t="s">
        <v>0</v>
      </c>
    </row>
    <row r="149" spans="1:28" s="9" customFormat="1" hidden="1" x14ac:dyDescent="0.3">
      <c r="B149" s="3"/>
      <c r="C149" s="3"/>
      <c r="D149" s="3"/>
      <c r="E149" s="3"/>
      <c r="F149" s="12"/>
      <c r="G149" s="12"/>
      <c r="H149" s="12"/>
      <c r="I149" s="12"/>
      <c r="O149" s="12" t="str">
        <f>IF(M148&lt;P148,"&lt; Sn=","&gt; Sn=")</f>
        <v>&gt; Sn=</v>
      </c>
      <c r="P149" s="23">
        <f>N132/SIN(L63)</f>
        <v>12.396628494833132</v>
      </c>
      <c r="Q149" s="9" t="s">
        <v>0</v>
      </c>
    </row>
    <row r="150" spans="1:28" s="9" customFormat="1" hidden="1" x14ac:dyDescent="0.3">
      <c r="C150" s="12"/>
      <c r="F150" s="12"/>
      <c r="G150" s="12"/>
      <c r="H150" s="3"/>
      <c r="I150" s="3"/>
      <c r="K150" s="9" t="str">
        <f>IF(M148&gt;=P149,"Не врши се редукција","Врши се редукција")</f>
        <v>Не врши се редукција</v>
      </c>
      <c r="T150" s="9" t="s">
        <v>54</v>
      </c>
    </row>
    <row r="151" spans="1:28" s="9" customFormat="1" hidden="1" x14ac:dyDescent="0.3">
      <c r="C151" s="12"/>
      <c r="F151" s="3"/>
      <c r="G151" s="12"/>
      <c r="I151" s="3"/>
      <c r="K151" s="45" t="s">
        <v>87</v>
      </c>
      <c r="L151" s="9" t="str">
        <f>IF(M148&lt;P149,"","0.4Sn =")</f>
        <v>0.4Sn =</v>
      </c>
      <c r="M151" s="23">
        <f>IF(M148&lt;P149,M146,0.4*P149)</f>
        <v>4.9586513979332532</v>
      </c>
      <c r="N151" s="9" t="s">
        <v>0</v>
      </c>
      <c r="P151" s="9" t="s">
        <v>99</v>
      </c>
      <c r="Q151" s="23">
        <f>M151*SIN(L63)</f>
        <v>4.1187537496709439</v>
      </c>
      <c r="R151" s="9" t="s">
        <v>0</v>
      </c>
      <c r="S151" s="11"/>
      <c r="T151" s="12" t="s">
        <v>25</v>
      </c>
      <c r="U151" s="12" t="s">
        <v>339</v>
      </c>
      <c r="V151" s="12" t="s">
        <v>30</v>
      </c>
      <c r="W151" s="12" t="s">
        <v>29</v>
      </c>
      <c r="X151" s="12" t="s">
        <v>31</v>
      </c>
      <c r="Y151" s="12" t="s">
        <v>340</v>
      </c>
      <c r="Z151" s="12" t="s">
        <v>26</v>
      </c>
      <c r="AA151" s="12" t="s">
        <v>341</v>
      </c>
    </row>
    <row r="152" spans="1:28" s="9" customFormat="1" hidden="1" x14ac:dyDescent="0.3">
      <c r="B152" s="12"/>
      <c r="C152" s="12"/>
      <c r="D152" s="12"/>
      <c r="E152" s="12"/>
      <c r="F152" s="3"/>
      <c r="K152" s="45" t="s">
        <v>88</v>
      </c>
      <c r="L152" s="9" t="str">
        <f>IF(M148&lt;P149,"","0.6 Sn")</f>
        <v>0.6 Sn</v>
      </c>
      <c r="M152" s="23">
        <f>IF(M148&lt;P149,M147,0.6*P149)</f>
        <v>7.4379770968998793</v>
      </c>
      <c r="N152" s="9" t="s">
        <v>0</v>
      </c>
      <c r="P152" s="9" t="s">
        <v>100</v>
      </c>
      <c r="Q152" s="23">
        <f>M152*SIN(L63)</f>
        <v>6.1781306245064158</v>
      </c>
      <c r="R152" s="9" t="s">
        <v>0</v>
      </c>
      <c r="S152" s="56">
        <v>1</v>
      </c>
      <c r="T152" s="12">
        <v>2</v>
      </c>
      <c r="U152" s="23">
        <f>U83</f>
        <v>10</v>
      </c>
      <c r="V152" s="23">
        <f>T152*U152</f>
        <v>20</v>
      </c>
      <c r="W152" s="23">
        <f>W83</f>
        <v>34.25</v>
      </c>
      <c r="X152" s="23">
        <f>V152*W152</f>
        <v>685</v>
      </c>
      <c r="Y152" s="23">
        <f>X152*W152</f>
        <v>23461.25</v>
      </c>
      <c r="Z152" s="9">
        <f>Z83</f>
        <v>0</v>
      </c>
      <c r="AA152" s="9">
        <f>V152*Z152*Z152/12</f>
        <v>0</v>
      </c>
      <c r="AB152" s="12"/>
    </row>
    <row r="153" spans="1:28" s="9" customFormat="1" hidden="1" x14ac:dyDescent="0.3">
      <c r="B153" s="12"/>
      <c r="C153" s="12"/>
      <c r="D153" s="12"/>
      <c r="E153" s="12"/>
      <c r="F153" s="3"/>
      <c r="H153" s="12"/>
      <c r="I153" s="12"/>
      <c r="K153" s="50" t="s">
        <v>141</v>
      </c>
      <c r="N153" s="46"/>
      <c r="O153" s="48"/>
      <c r="P153" s="26"/>
      <c r="Q153" s="23"/>
      <c r="S153" s="56">
        <v>2</v>
      </c>
      <c r="T153" s="12">
        <v>2</v>
      </c>
      <c r="U153" s="23">
        <f>U84</f>
        <v>9.9323427714554757</v>
      </c>
      <c r="V153" s="23">
        <f t="shared" ref="V153:V158" si="19">T153*U153</f>
        <v>19.864685542910951</v>
      </c>
      <c r="W153" s="23">
        <f>W84</f>
        <v>30.125</v>
      </c>
      <c r="X153" s="23">
        <f t="shared" ref="X153:X158" si="20">V153*W153</f>
        <v>598.4236519801924</v>
      </c>
      <c r="Y153" s="23">
        <f t="shared" ref="Y153:Y158" si="21">X153*W153</f>
        <v>18027.512515903298</v>
      </c>
      <c r="Z153" s="9">
        <f>Z84</f>
        <v>8.25</v>
      </c>
      <c r="AA153" s="9">
        <f t="shared" ref="AA153:AA158" si="22">V153*Z153*Z153/12</f>
        <v>112.67001331369805</v>
      </c>
    </row>
    <row r="154" spans="1:28" s="9" customFormat="1" hidden="1" x14ac:dyDescent="0.3">
      <c r="A154" s="12"/>
      <c r="B154" s="3"/>
      <c r="C154" s="3"/>
      <c r="D154" s="3"/>
      <c r="E154" s="3"/>
      <c r="F154" s="3"/>
      <c r="G154" s="12"/>
      <c r="H154" s="37"/>
      <c r="I154" s="37"/>
      <c r="L154" s="23"/>
      <c r="S154" s="56">
        <v>3</v>
      </c>
      <c r="T154" s="12">
        <v>2</v>
      </c>
      <c r="U154" s="23">
        <f>U85</f>
        <v>4.4721359549995796</v>
      </c>
      <c r="V154" s="23">
        <f t="shared" si="19"/>
        <v>8.9442719099991592</v>
      </c>
      <c r="W154" s="23">
        <f>W85</f>
        <v>23.625</v>
      </c>
      <c r="X154" s="23">
        <f t="shared" si="20"/>
        <v>211.30842387373013</v>
      </c>
      <c r="Y154" s="23">
        <f t="shared" si="21"/>
        <v>4992.1615140168742</v>
      </c>
      <c r="Z154" s="9">
        <f>Z85</f>
        <v>4</v>
      </c>
      <c r="AA154" s="9">
        <f t="shared" si="22"/>
        <v>11.925695879998878</v>
      </c>
    </row>
    <row r="155" spans="1:28" s="9" customFormat="1" hidden="1" x14ac:dyDescent="0.3">
      <c r="A155" s="12"/>
      <c r="B155" s="3"/>
      <c r="C155" s="3"/>
      <c r="D155" s="3"/>
      <c r="E155" s="3"/>
      <c r="F155" s="3"/>
      <c r="G155" s="12"/>
      <c r="H155" s="37"/>
      <c r="I155" s="37"/>
      <c r="K155" s="9" t="s">
        <v>133</v>
      </c>
      <c r="P155" s="9" t="s">
        <v>142</v>
      </c>
      <c r="S155" s="56" t="s">
        <v>101</v>
      </c>
      <c r="T155" s="12">
        <v>2</v>
      </c>
      <c r="U155" s="23">
        <f>Z155/SIN(U63)</f>
        <v>16.215636619111688</v>
      </c>
      <c r="V155" s="23">
        <f t="shared" si="19"/>
        <v>32.431273238223376</v>
      </c>
      <c r="W155" s="23">
        <f>W133+Z155/2</f>
        <v>15.265486039600928</v>
      </c>
      <c r="X155" s="23">
        <f t="shared" si="20"/>
        <v>495.07914886458212</v>
      </c>
      <c r="Y155" s="23">
        <f t="shared" si="21"/>
        <v>7557.6238354897878</v>
      </c>
      <c r="Z155" s="23">
        <f>W134-U66-AA55</f>
        <v>13.469027920798144</v>
      </c>
      <c r="AA155" s="9">
        <f t="shared" si="22"/>
        <v>490.29251091609609</v>
      </c>
    </row>
    <row r="156" spans="1:28" s="9" customFormat="1" hidden="1" x14ac:dyDescent="0.3">
      <c r="A156" s="12"/>
      <c r="B156" s="3"/>
      <c r="C156" s="3"/>
      <c r="D156" s="3"/>
      <c r="E156" s="3"/>
      <c r="G156" s="12"/>
      <c r="H156" s="37"/>
      <c r="I156" s="37"/>
      <c r="S156" s="56" t="s">
        <v>102</v>
      </c>
      <c r="T156" s="12">
        <v>2</v>
      </c>
      <c r="U156" s="23">
        <f>V148</f>
        <v>6.1623664628617485</v>
      </c>
      <c r="V156" s="23">
        <f t="shared" si="19"/>
        <v>12.324732925723497</v>
      </c>
      <c r="W156" s="23">
        <f>W133-Z156/2</f>
        <v>5.9716804554412999</v>
      </c>
      <c r="X156" s="23">
        <f t="shared" si="20"/>
        <v>73.59936673107687</v>
      </c>
      <c r="Y156" s="23">
        <f t="shared" si="21"/>
        <v>439.51189984082839</v>
      </c>
      <c r="Z156" s="23">
        <f>Z148</f>
        <v>5.118583247521113</v>
      </c>
      <c r="AA156" s="9">
        <f t="shared" si="22"/>
        <v>26.908891826989485</v>
      </c>
    </row>
    <row r="157" spans="1:28" s="9" customFormat="1" hidden="1" x14ac:dyDescent="0.3">
      <c r="A157" s="12"/>
      <c r="B157" s="3"/>
      <c r="C157" s="3"/>
      <c r="D157" s="3"/>
      <c r="E157" s="3"/>
      <c r="G157" s="12"/>
      <c r="H157" s="37"/>
      <c r="I157" s="37"/>
      <c r="K157" s="9" t="s">
        <v>115</v>
      </c>
      <c r="S157" s="56" t="s">
        <v>103</v>
      </c>
      <c r="T157" s="12">
        <v>2</v>
      </c>
      <c r="U157" s="23">
        <f>V147</f>
        <v>4.1082443085744993</v>
      </c>
      <c r="V157" s="23">
        <f t="shared" si="19"/>
        <v>8.2164886171489986</v>
      </c>
      <c r="W157" s="23">
        <f>Z157/2</f>
        <v>1.7061944158403712</v>
      </c>
      <c r="X157" s="23">
        <f t="shared" si="20"/>
        <v>14.018926996395596</v>
      </c>
      <c r="Y157" s="23">
        <f t="shared" si="21"/>
        <v>23.919014957323995</v>
      </c>
      <c r="Z157" s="23">
        <f>Z147</f>
        <v>3.4123888316807425</v>
      </c>
      <c r="AA157" s="9">
        <f t="shared" si="22"/>
        <v>7.973004985774665</v>
      </c>
    </row>
    <row r="158" spans="1:28" s="9" customFormat="1" hidden="1" x14ac:dyDescent="0.3">
      <c r="A158" s="12"/>
      <c r="B158" s="3"/>
      <c r="C158" s="3"/>
      <c r="D158" s="3"/>
      <c r="E158" s="3"/>
      <c r="G158" s="12"/>
      <c r="H158" s="37"/>
      <c r="I158" s="37"/>
      <c r="K158" s="4" t="s">
        <v>116</v>
      </c>
      <c r="L158" s="12"/>
      <c r="M158" s="12"/>
      <c r="N158" s="12"/>
      <c r="O158" s="12"/>
      <c r="S158" s="56">
        <v>5</v>
      </c>
      <c r="T158" s="12">
        <v>1</v>
      </c>
      <c r="U158" s="23">
        <f>U130</f>
        <v>140.32895125850237</v>
      </c>
      <c r="V158" s="23">
        <f t="shared" si="19"/>
        <v>140.32895125850237</v>
      </c>
      <c r="W158" s="9">
        <v>0</v>
      </c>
      <c r="X158" s="23">
        <f t="shared" si="20"/>
        <v>0</v>
      </c>
      <c r="Y158" s="23">
        <f t="shared" si="21"/>
        <v>0</v>
      </c>
      <c r="Z158" s="9">
        <v>0</v>
      </c>
      <c r="AA158" s="9">
        <f t="shared" si="22"/>
        <v>0</v>
      </c>
    </row>
    <row r="159" spans="1:28" s="9" customFormat="1" hidden="1" x14ac:dyDescent="0.3">
      <c r="B159" s="21"/>
      <c r="C159" s="12"/>
      <c r="G159" s="12"/>
      <c r="K159" s="4" t="s">
        <v>143</v>
      </c>
      <c r="L159" s="3"/>
      <c r="M159" s="3"/>
      <c r="N159" s="3"/>
      <c r="O159" s="33"/>
      <c r="P159" s="23"/>
      <c r="Q159" s="11"/>
      <c r="R159" s="35"/>
      <c r="V159" s="23">
        <f>SUM(V152:V158)</f>
        <v>242.11040349250834</v>
      </c>
      <c r="X159" s="23">
        <f>SUM(X152:X158)</f>
        <v>2077.4295184459775</v>
      </c>
      <c r="Y159" s="23">
        <f>SUM(Y152:Y158)</f>
        <v>54501.978780208112</v>
      </c>
      <c r="AA159" s="9">
        <f>SUM(AA152:AA158)</f>
        <v>649.77011692255712</v>
      </c>
    </row>
    <row r="160" spans="1:28" s="9" customFormat="1" hidden="1" x14ac:dyDescent="0.3">
      <c r="C160" s="12"/>
      <c r="D160" s="3"/>
      <c r="E160" s="3"/>
      <c r="F160" s="3"/>
      <c r="G160" s="3"/>
      <c r="H160" s="11"/>
      <c r="K160" s="9" t="s">
        <v>118</v>
      </c>
      <c r="L160" s="3"/>
      <c r="M160" s="3">
        <f>L65-N132</f>
        <v>23.95311562582264</v>
      </c>
      <c r="N160" s="48" t="s">
        <v>0</v>
      </c>
      <c r="O160" s="33"/>
      <c r="P160" s="23"/>
      <c r="Q160" s="11"/>
      <c r="R160" s="35"/>
      <c r="T160" s="9" t="s">
        <v>343</v>
      </c>
      <c r="X160" s="23">
        <f>X159/V159</f>
        <v>8.5805049616971942</v>
      </c>
      <c r="Y160" s="9" t="s">
        <v>0</v>
      </c>
    </row>
    <row r="161" spans="1:44" s="9" customFormat="1" hidden="1" x14ac:dyDescent="0.3">
      <c r="A161" s="12"/>
      <c r="B161" s="12"/>
      <c r="C161" s="12"/>
      <c r="D161" s="12"/>
      <c r="E161" s="12"/>
      <c r="F161" s="12"/>
      <c r="G161" s="12"/>
      <c r="H161" s="3"/>
      <c r="K161" s="9" t="s">
        <v>117</v>
      </c>
      <c r="M161" s="3">
        <f>N133</f>
        <v>151.3018349421319</v>
      </c>
      <c r="N161" s="4" t="s">
        <v>344</v>
      </c>
      <c r="O161" s="33"/>
      <c r="P161" s="23"/>
      <c r="Q161" s="11"/>
      <c r="R161" s="35"/>
      <c r="T161" s="9" t="s">
        <v>105</v>
      </c>
      <c r="X161" s="23">
        <f>X56*V159</f>
        <v>181.58280261938125</v>
      </c>
      <c r="Y161" s="9" t="s">
        <v>45</v>
      </c>
    </row>
    <row r="162" spans="1:44" s="9" customFormat="1" hidden="1" x14ac:dyDescent="0.3">
      <c r="A162" s="3"/>
      <c r="B162" s="3"/>
      <c r="C162" s="49"/>
      <c r="D162" s="31"/>
      <c r="E162" s="31"/>
      <c r="F162" s="31"/>
      <c r="G162" s="31"/>
      <c r="H162" s="3"/>
      <c r="K162" s="12"/>
      <c r="L162" s="3"/>
      <c r="M162" s="3"/>
      <c r="N162" s="3"/>
      <c r="O162" s="33"/>
      <c r="P162" s="23"/>
      <c r="Q162" s="11"/>
      <c r="R162" s="35"/>
      <c r="T162" s="9" t="s">
        <v>375</v>
      </c>
      <c r="X162" s="23">
        <f>X56*(Y159+AA159-V159*X160*X160)</f>
        <v>27994.76595489656</v>
      </c>
      <c r="Y162" s="9" t="s">
        <v>47</v>
      </c>
      <c r="Z162" s="23">
        <f>(X162/10000)*1000/U55</f>
        <v>13.997382977448281</v>
      </c>
      <c r="AA162" s="9" t="s">
        <v>131</v>
      </c>
    </row>
    <row r="163" spans="1:44" s="9" customFormat="1" hidden="1" x14ac:dyDescent="0.3">
      <c r="A163" s="11"/>
      <c r="B163" s="31"/>
      <c r="C163" s="12"/>
      <c r="G163" s="32"/>
      <c r="H163" s="3"/>
      <c r="K163" s="9" t="s">
        <v>35</v>
      </c>
      <c r="P163" s="9" t="str">
        <f>IF(Q167&lt;=1,"За ро &lt; 1 нема редукције","")</f>
        <v>За ро &lt; 1 нема редукције</v>
      </c>
      <c r="T163" s="45" t="s">
        <v>106</v>
      </c>
      <c r="V163" s="11"/>
      <c r="X163" s="23">
        <f>X162/X160</f>
        <v>3262.601219842345</v>
      </c>
      <c r="Y163" s="9" t="s">
        <v>107</v>
      </c>
    </row>
    <row r="164" spans="1:44" s="9" customFormat="1" hidden="1" x14ac:dyDescent="0.3">
      <c r="C164" s="12"/>
      <c r="H164" s="3"/>
      <c r="K164" s="9" t="s">
        <v>33</v>
      </c>
      <c r="L164" s="11" t="s">
        <v>347</v>
      </c>
      <c r="M164" s="4">
        <v>4</v>
      </c>
      <c r="T164" s="45" t="s">
        <v>108</v>
      </c>
      <c r="V164" s="11"/>
      <c r="W164" s="23"/>
    </row>
    <row r="165" spans="1:44" s="9" customFormat="1" hidden="1" x14ac:dyDescent="0.3">
      <c r="C165" s="12"/>
      <c r="H165" s="3"/>
      <c r="K165" s="9" t="s">
        <v>34</v>
      </c>
      <c r="P165" s="26" t="s">
        <v>348</v>
      </c>
      <c r="Q165" s="23">
        <v>1</v>
      </c>
      <c r="T165" s="45" t="s">
        <v>109</v>
      </c>
      <c r="V165" s="11"/>
      <c r="W165" s="23"/>
      <c r="X165" s="9">
        <f>X163*1000/U55</f>
        <v>16313.006099211725</v>
      </c>
      <c r="Y165" s="9" t="s">
        <v>110</v>
      </c>
    </row>
    <row r="166" spans="1:44" s="9" customFormat="1" hidden="1" x14ac:dyDescent="0.3">
      <c r="C166" s="12"/>
      <c r="H166" s="3"/>
      <c r="K166" s="45" t="s">
        <v>349</v>
      </c>
      <c r="N166" s="38">
        <f>SQRT(235/O59)</f>
        <v>0.85695682505013049</v>
      </c>
      <c r="P166" s="45" t="s">
        <v>350</v>
      </c>
      <c r="T166" s="45"/>
      <c r="V166" s="51"/>
      <c r="W166" s="23"/>
      <c r="X166" s="23">
        <f>X165/1000</f>
        <v>16.313006099211727</v>
      </c>
      <c r="Y166" s="9" t="s">
        <v>113</v>
      </c>
    </row>
    <row r="167" spans="1:44" s="9" customFormat="1" hidden="1" x14ac:dyDescent="0.3">
      <c r="A167" s="12"/>
      <c r="B167" s="12"/>
      <c r="C167" s="12"/>
      <c r="D167" s="12"/>
      <c r="E167" s="12"/>
      <c r="F167" s="12"/>
      <c r="G167" s="12"/>
      <c r="H167" s="12"/>
      <c r="K167" s="45" t="s">
        <v>376</v>
      </c>
      <c r="N167" s="46">
        <f>(L56/O56)/(28.4*N166*SQRT(M164))</f>
        <v>0.54784973332542564</v>
      </c>
      <c r="O167" s="12" t="str">
        <f>IF(N167&lt;0.673,"&lt;= 0.673","&gt; 0.673")</f>
        <v>&lt;= 0.673</v>
      </c>
      <c r="P167" s="26" t="s">
        <v>36</v>
      </c>
      <c r="Q167" s="32">
        <f>IF(N167&lt;=0.673,1,(N167-0.0055*(3+Q165))/(N167*N167))</f>
        <v>1</v>
      </c>
      <c r="T167" s="52" t="s">
        <v>130</v>
      </c>
      <c r="V167" s="11"/>
      <c r="W167" s="23"/>
    </row>
    <row r="168" spans="1:44" s="9" customFormat="1" ht="15.6" hidden="1" x14ac:dyDescent="0.3">
      <c r="B168" s="14"/>
      <c r="C168" s="32"/>
      <c r="D168" s="32"/>
      <c r="E168" s="12"/>
      <c r="F168" s="14"/>
      <c r="G168" s="32"/>
      <c r="H168" s="32"/>
      <c r="K168" s="45" t="s">
        <v>120</v>
      </c>
      <c r="N168" s="35">
        <f>Q167*L56</f>
        <v>20</v>
      </c>
      <c r="O168" s="9" t="s">
        <v>0</v>
      </c>
      <c r="P168" s="45" t="s">
        <v>146</v>
      </c>
      <c r="Q168" s="3">
        <f>IF(Q167&lt;1,N168,L56)</f>
        <v>20</v>
      </c>
      <c r="T168" s="52" t="s">
        <v>112</v>
      </c>
      <c r="V168" s="11"/>
      <c r="W168" s="23"/>
    </row>
    <row r="169" spans="1:44" s="9" customFormat="1" ht="16.2" hidden="1" x14ac:dyDescent="0.3">
      <c r="B169" s="14"/>
      <c r="C169" s="32"/>
      <c r="D169" s="32"/>
      <c r="E169" s="12"/>
      <c r="F169" s="14"/>
      <c r="G169" s="32"/>
      <c r="H169" s="32"/>
      <c r="K169" s="45" t="s">
        <v>121</v>
      </c>
      <c r="L169" s="9" t="s">
        <v>53</v>
      </c>
      <c r="N169" s="23">
        <f>0.5*N168</f>
        <v>10</v>
      </c>
      <c r="O169" s="9" t="s">
        <v>0</v>
      </c>
      <c r="T169" s="45" t="s">
        <v>370</v>
      </c>
      <c r="W169" s="23">
        <f>X59*X165/1.1/1000000</f>
        <v>4.7456017743161381</v>
      </c>
      <c r="X169" s="9" t="s">
        <v>22</v>
      </c>
      <c r="Y169" s="26" t="s">
        <v>371</v>
      </c>
      <c r="Z169" s="12">
        <v>1.1000000000000001</v>
      </c>
      <c r="AD169" s="57" t="s">
        <v>209</v>
      </c>
      <c r="AM169" s="57" t="s">
        <v>209</v>
      </c>
    </row>
    <row r="170" spans="1:44" s="9" customFormat="1" ht="16.2" hidden="1" x14ac:dyDescent="0.35">
      <c r="B170" s="19"/>
      <c r="C170" s="32"/>
      <c r="D170" s="32"/>
      <c r="E170" s="12"/>
      <c r="F170" s="19"/>
      <c r="G170" s="32"/>
      <c r="H170" s="32"/>
      <c r="I170" s="12"/>
      <c r="J170" s="11"/>
      <c r="K170" s="45" t="s">
        <v>122</v>
      </c>
      <c r="L170" s="9" t="s">
        <v>53</v>
      </c>
      <c r="N170" s="23">
        <f>0.5*N168</f>
        <v>10</v>
      </c>
      <c r="O170" s="9" t="s">
        <v>0</v>
      </c>
      <c r="AD170" s="9" t="s">
        <v>210</v>
      </c>
      <c r="AH170" s="11" t="s">
        <v>377</v>
      </c>
      <c r="AI170" s="12">
        <v>1</v>
      </c>
      <c r="AM170" s="9" t="s">
        <v>211</v>
      </c>
    </row>
    <row r="171" spans="1:44" s="9" customFormat="1" ht="16.2" hidden="1" x14ac:dyDescent="0.35">
      <c r="B171" s="14"/>
      <c r="C171" s="32"/>
      <c r="D171" s="32"/>
      <c r="E171" s="12"/>
      <c r="F171" s="14"/>
      <c r="G171" s="32"/>
      <c r="H171" s="32"/>
      <c r="I171" s="12"/>
      <c r="T171" s="9" t="s">
        <v>133</v>
      </c>
      <c r="Y171" s="9" t="s">
        <v>114</v>
      </c>
      <c r="AE171" s="23"/>
      <c r="AH171" s="11" t="s">
        <v>378</v>
      </c>
      <c r="AI171" s="12">
        <v>1</v>
      </c>
    </row>
    <row r="172" spans="1:44" s="9" customFormat="1" ht="15.6" hidden="1" x14ac:dyDescent="0.3">
      <c r="B172" s="14"/>
      <c r="C172" s="32"/>
      <c r="D172" s="32"/>
      <c r="E172" s="12"/>
      <c r="F172" s="14"/>
      <c r="G172" s="32"/>
      <c r="H172" s="32"/>
      <c r="I172" s="12"/>
      <c r="K172" s="9" t="s">
        <v>144</v>
      </c>
      <c r="AD172" s="9" t="s">
        <v>379</v>
      </c>
      <c r="AE172" s="9" t="s">
        <v>380</v>
      </c>
      <c r="AH172" s="23">
        <f>(L65/SIN(L63))*O56*(O59/(AI170*SQRT(3)))/1000</f>
        <v>5.713588260882422</v>
      </c>
      <c r="AI172" s="9" t="s">
        <v>212</v>
      </c>
    </row>
    <row r="173" spans="1:44" s="9" customFormat="1" hidden="1" x14ac:dyDescent="0.3">
      <c r="B173" s="3"/>
      <c r="C173" s="32"/>
      <c r="D173" s="32"/>
      <c r="F173" s="3"/>
      <c r="G173" s="32"/>
      <c r="H173" s="32"/>
      <c r="K173" s="12" t="s">
        <v>25</v>
      </c>
      <c r="L173" s="12" t="s">
        <v>339</v>
      </c>
      <c r="M173" s="12" t="s">
        <v>30</v>
      </c>
      <c r="N173" s="12" t="s">
        <v>29</v>
      </c>
      <c r="O173" s="12" t="s">
        <v>31</v>
      </c>
      <c r="P173" s="12" t="s">
        <v>340</v>
      </c>
      <c r="Q173" s="12" t="s">
        <v>26</v>
      </c>
      <c r="R173" s="12" t="s">
        <v>341</v>
      </c>
      <c r="T173" s="9" t="s">
        <v>115</v>
      </c>
      <c r="AO173" s="9" t="s">
        <v>213</v>
      </c>
    </row>
    <row r="174" spans="1:44" s="9" customFormat="1" hidden="1" x14ac:dyDescent="0.3">
      <c r="C174" s="32"/>
      <c r="D174" s="32"/>
      <c r="G174" s="32"/>
      <c r="H174" s="32"/>
      <c r="J174" s="11">
        <v>1</v>
      </c>
      <c r="K174" s="12">
        <v>1</v>
      </c>
      <c r="L174" s="3">
        <f>Q168</f>
        <v>20</v>
      </c>
      <c r="M174" s="3">
        <f>L174*K174</f>
        <v>20</v>
      </c>
      <c r="N174" s="3">
        <v>0</v>
      </c>
      <c r="O174" s="33">
        <f>M174*N174</f>
        <v>0</v>
      </c>
      <c r="P174" s="23">
        <f>O174*N174</f>
        <v>0</v>
      </c>
      <c r="Q174" s="11">
        <v>0</v>
      </c>
      <c r="R174" s="35">
        <f>M174*Q174*Q174/12</f>
        <v>0</v>
      </c>
      <c r="S174" s="11"/>
      <c r="T174" s="4" t="s">
        <v>116</v>
      </c>
      <c r="U174" s="12"/>
      <c r="V174" s="12"/>
      <c r="W174" s="12"/>
      <c r="X174" s="12"/>
      <c r="AD174" s="4" t="s">
        <v>214</v>
      </c>
      <c r="AO174" s="9" t="s">
        <v>215</v>
      </c>
    </row>
    <row r="175" spans="1:44" s="9" customFormat="1" hidden="1" x14ac:dyDescent="0.3">
      <c r="B175" s="29"/>
      <c r="C175" s="12"/>
      <c r="J175" s="11">
        <v>2</v>
      </c>
      <c r="K175" s="12">
        <v>2</v>
      </c>
      <c r="L175" s="3">
        <v>9.61</v>
      </c>
      <c r="M175" s="3">
        <f t="shared" ref="M175:M180" si="23">L175*K175</f>
        <v>19.22</v>
      </c>
      <c r="N175" s="3">
        <v>4</v>
      </c>
      <c r="O175" s="33">
        <f t="shared" ref="O175:O180" si="24">M175*N175</f>
        <v>76.88</v>
      </c>
      <c r="P175" s="23">
        <f t="shared" ref="P175:P180" si="25">O175*N175</f>
        <v>307.52</v>
      </c>
      <c r="Q175" s="11">
        <v>8</v>
      </c>
      <c r="R175" s="35">
        <f t="shared" ref="R175:R180" si="26">M175*Q175*Q175/12</f>
        <v>102.50666666666666</v>
      </c>
      <c r="S175" s="11"/>
      <c r="T175" s="4" t="s">
        <v>119</v>
      </c>
      <c r="U175" s="3"/>
      <c r="V175" s="3"/>
      <c r="W175" s="3"/>
      <c r="X175" s="33"/>
      <c r="Y175" s="23"/>
      <c r="Z175" s="11"/>
      <c r="AA175" s="35"/>
      <c r="AD175" s="45" t="s">
        <v>381</v>
      </c>
      <c r="AH175" s="23">
        <f>0.346*(X66/O56)*SQRT(O59/O60)</f>
        <v>0.74257188721968126</v>
      </c>
      <c r="AM175" s="45" t="s">
        <v>382</v>
      </c>
    </row>
    <row r="176" spans="1:44" s="9" customFormat="1" ht="16.2" hidden="1" x14ac:dyDescent="0.3">
      <c r="C176" s="12"/>
      <c r="J176" s="11">
        <v>3</v>
      </c>
      <c r="K176" s="12">
        <v>2</v>
      </c>
      <c r="L176" s="3">
        <v>4.47</v>
      </c>
      <c r="M176" s="3">
        <f t="shared" si="23"/>
        <v>8.94</v>
      </c>
      <c r="N176" s="3">
        <v>10.5</v>
      </c>
      <c r="O176" s="33">
        <f t="shared" si="24"/>
        <v>93.86999999999999</v>
      </c>
      <c r="P176" s="23">
        <f t="shared" si="25"/>
        <v>985.63499999999988</v>
      </c>
      <c r="Q176" s="11">
        <v>4</v>
      </c>
      <c r="R176" s="35">
        <f t="shared" si="26"/>
        <v>11.92</v>
      </c>
      <c r="S176" s="11"/>
      <c r="T176" s="9" t="s">
        <v>118</v>
      </c>
      <c r="U176" s="3"/>
      <c r="V176" s="3">
        <f>U65-W90</f>
        <v>25.515249383071517</v>
      </c>
      <c r="W176" s="48" t="s">
        <v>0</v>
      </c>
      <c r="X176" s="33"/>
      <c r="Y176" s="23"/>
      <c r="Z176" s="11"/>
      <c r="AA176" s="35"/>
      <c r="AM176" s="9" t="s">
        <v>383</v>
      </c>
      <c r="AQ176" s="9" t="s">
        <v>216</v>
      </c>
      <c r="AR176" s="48">
        <f>AA64</f>
        <v>1.6612394859568571</v>
      </c>
    </row>
    <row r="177" spans="2:44" s="9" customFormat="1" ht="16.2" hidden="1" x14ac:dyDescent="0.3">
      <c r="C177" s="12"/>
      <c r="J177" s="11">
        <v>4</v>
      </c>
      <c r="K177" s="12">
        <v>2</v>
      </c>
      <c r="L177" s="3">
        <v>25.84</v>
      </c>
      <c r="M177" s="3">
        <f t="shared" si="23"/>
        <v>51.68</v>
      </c>
      <c r="N177" s="3">
        <v>23.25</v>
      </c>
      <c r="O177" s="33">
        <f t="shared" si="24"/>
        <v>1201.56</v>
      </c>
      <c r="P177" s="23">
        <f t="shared" si="25"/>
        <v>27936.27</v>
      </c>
      <c r="Q177" s="11">
        <v>21.5</v>
      </c>
      <c r="R177" s="35">
        <f t="shared" si="26"/>
        <v>1990.7566666666664</v>
      </c>
      <c r="S177" s="11"/>
      <c r="T177" s="9" t="s">
        <v>117</v>
      </c>
      <c r="V177" s="3">
        <f>W91</f>
        <v>176.68513599681012</v>
      </c>
      <c r="W177" s="4" t="s">
        <v>344</v>
      </c>
      <c r="X177" s="33"/>
      <c r="Y177" s="23"/>
      <c r="Z177" s="11"/>
      <c r="AA177" s="35"/>
      <c r="AF177" s="9" t="s">
        <v>217</v>
      </c>
      <c r="AM177" s="9" t="s">
        <v>384</v>
      </c>
      <c r="AP177" s="23">
        <f>O56*AR176*AR176*AR176/12</f>
        <v>0.28653438970706741</v>
      </c>
      <c r="AQ177" s="9" t="s">
        <v>47</v>
      </c>
    </row>
    <row r="178" spans="2:44" s="9" customFormat="1" hidden="1" x14ac:dyDescent="0.3">
      <c r="C178" s="12"/>
      <c r="J178" s="11">
        <v>5</v>
      </c>
      <c r="K178" s="12">
        <v>2</v>
      </c>
      <c r="L178" s="3">
        <v>52.5</v>
      </c>
      <c r="M178" s="3">
        <f t="shared" si="23"/>
        <v>105</v>
      </c>
      <c r="N178" s="3">
        <v>34</v>
      </c>
      <c r="O178" s="33">
        <f t="shared" si="24"/>
        <v>3570</v>
      </c>
      <c r="P178" s="23">
        <f t="shared" si="25"/>
        <v>121380</v>
      </c>
      <c r="Q178" s="11">
        <v>0</v>
      </c>
      <c r="R178" s="35">
        <f t="shared" si="26"/>
        <v>0</v>
      </c>
      <c r="S178" s="11"/>
      <c r="T178" s="12"/>
      <c r="U178" s="3"/>
      <c r="V178" s="3"/>
      <c r="W178" s="3"/>
      <c r="X178" s="33"/>
      <c r="Y178" s="23"/>
      <c r="Z178" s="11"/>
      <c r="AA178" s="35"/>
      <c r="AF178" s="21" t="s">
        <v>218</v>
      </c>
      <c r="AH178" s="21" t="s">
        <v>219</v>
      </c>
      <c r="AM178" s="9" t="s">
        <v>220</v>
      </c>
      <c r="AP178" s="9">
        <f>30.53+9.64+57.06</f>
        <v>97.23</v>
      </c>
      <c r="AQ178" s="9" t="s">
        <v>0</v>
      </c>
    </row>
    <row r="179" spans="2:44" s="9" customFormat="1" hidden="1" x14ac:dyDescent="0.3">
      <c r="B179" s="12"/>
      <c r="C179" s="12"/>
      <c r="D179" s="12"/>
      <c r="E179" s="12"/>
      <c r="F179" s="12"/>
      <c r="G179" s="12"/>
      <c r="H179" s="12"/>
      <c r="J179" s="11">
        <v>6</v>
      </c>
      <c r="K179" s="12">
        <v>2</v>
      </c>
      <c r="L179" s="3">
        <v>2.5</v>
      </c>
      <c r="M179" s="3">
        <f t="shared" si="23"/>
        <v>5</v>
      </c>
      <c r="N179" s="3">
        <v>33</v>
      </c>
      <c r="O179" s="33">
        <f t="shared" si="24"/>
        <v>165</v>
      </c>
      <c r="P179" s="23">
        <f t="shared" si="25"/>
        <v>5445</v>
      </c>
      <c r="Q179" s="9">
        <v>2</v>
      </c>
      <c r="R179" s="35">
        <f t="shared" si="26"/>
        <v>1.6666666666666667</v>
      </c>
      <c r="S179" s="11"/>
      <c r="T179" s="9" t="s">
        <v>35</v>
      </c>
      <c r="AD179" s="9" t="s">
        <v>221</v>
      </c>
      <c r="AF179" s="21" t="s">
        <v>175</v>
      </c>
      <c r="AH179" s="21" t="s">
        <v>175</v>
      </c>
      <c r="AM179" s="9" t="s">
        <v>222</v>
      </c>
      <c r="AP179" s="9">
        <v>57.06</v>
      </c>
      <c r="AQ179" s="9" t="s">
        <v>0</v>
      </c>
    </row>
    <row r="180" spans="2:44" s="9" customFormat="1" ht="16.2" hidden="1" x14ac:dyDescent="0.3">
      <c r="B180" s="3"/>
      <c r="C180" s="3"/>
      <c r="E180" s="3"/>
      <c r="F180" s="3"/>
      <c r="G180" s="3"/>
      <c r="H180" s="3"/>
      <c r="J180" s="11">
        <v>7</v>
      </c>
      <c r="K180" s="12">
        <v>1</v>
      </c>
      <c r="L180" s="3">
        <v>25</v>
      </c>
      <c r="M180" s="3">
        <f t="shared" si="23"/>
        <v>25</v>
      </c>
      <c r="N180" s="3">
        <v>32</v>
      </c>
      <c r="O180" s="33">
        <f t="shared" si="24"/>
        <v>800</v>
      </c>
      <c r="P180" s="23">
        <f t="shared" si="25"/>
        <v>25600</v>
      </c>
      <c r="Q180" s="11">
        <v>0</v>
      </c>
      <c r="R180" s="35">
        <f t="shared" si="26"/>
        <v>0</v>
      </c>
      <c r="T180" s="9" t="s">
        <v>33</v>
      </c>
      <c r="U180" s="11" t="s">
        <v>347</v>
      </c>
      <c r="V180" s="4">
        <v>4</v>
      </c>
      <c r="AD180" s="9" t="s">
        <v>223</v>
      </c>
      <c r="AF180" s="9" t="s">
        <v>224</v>
      </c>
      <c r="AH180" s="9" t="s">
        <v>224</v>
      </c>
      <c r="AJ180" s="3">
        <f>0.58*O59</f>
        <v>185.6</v>
      </c>
      <c r="AM180" s="9" t="s">
        <v>385</v>
      </c>
      <c r="AP180" s="23">
        <f>5.34+(2.1/O56)*((AP177+AP177)/AP178)^0.33333</f>
        <v>5.845786947604859</v>
      </c>
    </row>
    <row r="181" spans="2:44" s="9" customFormat="1" hidden="1" x14ac:dyDescent="0.3">
      <c r="B181" s="3"/>
      <c r="C181" s="3"/>
      <c r="E181" s="3"/>
      <c r="F181" s="3"/>
      <c r="G181" s="3"/>
      <c r="H181" s="3"/>
      <c r="K181" s="26" t="s">
        <v>342</v>
      </c>
      <c r="L181" s="3"/>
      <c r="M181" s="3">
        <f>SUM(M174:M180)</f>
        <v>234.84</v>
      </c>
      <c r="N181" s="3"/>
      <c r="O181" s="33">
        <f>SUM(O174:O180)</f>
        <v>5907.3099999999995</v>
      </c>
      <c r="P181" s="23">
        <f>SUM(P174:P180)</f>
        <v>181654.42499999999</v>
      </c>
      <c r="Q181" s="11"/>
      <c r="R181" s="35">
        <f>SUM(R174:R178)</f>
        <v>2105.1833333333329</v>
      </c>
      <c r="T181" s="9" t="s">
        <v>34</v>
      </c>
      <c r="Y181" s="26" t="s">
        <v>348</v>
      </c>
      <c r="Z181" s="23">
        <v>1</v>
      </c>
      <c r="AD181" s="9" t="s">
        <v>225</v>
      </c>
      <c r="AF181" s="9" t="s">
        <v>226</v>
      </c>
      <c r="AH181" s="9" t="s">
        <v>226</v>
      </c>
      <c r="AJ181" s="3">
        <f>0.48*O59/AH175</f>
        <v>206.84866023558365</v>
      </c>
      <c r="AM181" s="45" t="s">
        <v>386</v>
      </c>
      <c r="AP181" s="23">
        <f>(0.346*AP178/O56)*SQRT(5.34*O59/(O60*AP180))</f>
        <v>1.6735149632760544</v>
      </c>
    </row>
    <row r="182" spans="2:44" s="9" customFormat="1" hidden="1" x14ac:dyDescent="0.3">
      <c r="B182" s="3"/>
      <c r="C182" s="3"/>
      <c r="E182" s="3"/>
      <c r="F182" s="12"/>
      <c r="G182" s="3"/>
      <c r="H182" s="3"/>
      <c r="T182" s="45" t="s">
        <v>349</v>
      </c>
      <c r="W182" s="38">
        <f>SQRT(235/X59)</f>
        <v>0.85695682505013049</v>
      </c>
      <c r="Y182" s="45" t="s">
        <v>350</v>
      </c>
      <c r="AD182" s="9" t="s">
        <v>227</v>
      </c>
      <c r="AF182" s="9" t="s">
        <v>387</v>
      </c>
      <c r="AH182" s="9" t="s">
        <v>226</v>
      </c>
      <c r="AJ182" s="3">
        <f>0.67*O59/(AH175*AH175)</f>
        <v>388.81926434518056</v>
      </c>
      <c r="AM182" s="9" t="s">
        <v>388</v>
      </c>
      <c r="AP182" s="23">
        <f>0.346*AP179*SQRT(O59/O60)/O56</f>
        <v>1.0275712492909539</v>
      </c>
    </row>
    <row r="183" spans="2:44" s="9" customFormat="1" hidden="1" x14ac:dyDescent="0.3">
      <c r="B183" s="3"/>
      <c r="C183" s="3"/>
      <c r="E183" s="3"/>
      <c r="F183" s="3"/>
      <c r="G183" s="3"/>
      <c r="H183" s="3"/>
      <c r="K183" s="9" t="s">
        <v>343</v>
      </c>
      <c r="M183" s="3">
        <f>O181/M181</f>
        <v>25.154615908703796</v>
      </c>
      <c r="N183" s="9" t="s">
        <v>0</v>
      </c>
      <c r="O183" s="35"/>
      <c r="P183" s="23"/>
      <c r="R183" s="23"/>
      <c r="T183" s="45" t="s">
        <v>376</v>
      </c>
      <c r="W183" s="46">
        <f>(U56/X56)/(28.4*W182*SQRT(V180))</f>
        <v>0.54784973332542564</v>
      </c>
      <c r="X183" s="12" t="str">
        <f>IF(W183&lt;0.673,"&lt;= 0.673","&gt; 0.673")</f>
        <v>&lt;= 0.673</v>
      </c>
      <c r="Y183" s="26" t="s">
        <v>36</v>
      </c>
      <c r="Z183" s="32">
        <f>IF(W183&lt;=0.673,1,(W183-0.0055*(3+Z181))/(W183*W183))</f>
        <v>1</v>
      </c>
      <c r="AM183" s="9" t="s">
        <v>389</v>
      </c>
      <c r="AP183" s="23">
        <f>0.67*O59/(AP181*AP181)</f>
        <v>76.55359343487271</v>
      </c>
      <c r="AQ183" s="9" t="s">
        <v>4</v>
      </c>
    </row>
    <row r="184" spans="2:44" s="9" customFormat="1" hidden="1" x14ac:dyDescent="0.3">
      <c r="B184" s="3"/>
      <c r="C184" s="3"/>
      <c r="E184" s="3"/>
      <c r="F184" s="3"/>
      <c r="G184" s="3"/>
      <c r="H184" s="3"/>
      <c r="T184" s="45" t="s">
        <v>120</v>
      </c>
      <c r="W184" s="35">
        <f>Z183*U56</f>
        <v>20</v>
      </c>
      <c r="X184" s="9" t="s">
        <v>0</v>
      </c>
      <c r="AD184" s="9" t="s">
        <v>228</v>
      </c>
      <c r="AE184" s="23">
        <f>IF(AH175&lt;0.83,AJ180,IF(AH175&lt;1.4,AJ181,IF(AH175&gt;=1.4,AJ182)))</f>
        <v>185.6</v>
      </c>
      <c r="AF184" s="9" t="s">
        <v>4</v>
      </c>
    </row>
    <row r="185" spans="2:44" s="9" customFormat="1" ht="15.6" hidden="1" x14ac:dyDescent="0.35">
      <c r="C185" s="12"/>
      <c r="K185" s="45" t="s">
        <v>78</v>
      </c>
      <c r="T185" s="45" t="s">
        <v>121</v>
      </c>
      <c r="U185" s="9" t="s">
        <v>53</v>
      </c>
      <c r="W185" s="23">
        <f>0.5*W184</f>
        <v>10</v>
      </c>
      <c r="X185" s="9" t="s">
        <v>0</v>
      </c>
      <c r="AD185" s="9" t="s">
        <v>390</v>
      </c>
      <c r="AE185" s="58" t="s">
        <v>391</v>
      </c>
      <c r="AF185" s="21"/>
      <c r="AH185" s="23">
        <f>L65/SIN(L63)*O65*AE184/AI171/1000</f>
        <v>191.32701978663079</v>
      </c>
      <c r="AI185" s="9" t="s">
        <v>212</v>
      </c>
      <c r="AM185" s="9" t="s">
        <v>390</v>
      </c>
      <c r="AN185" s="11"/>
      <c r="AO185" s="59" t="s">
        <v>392</v>
      </c>
      <c r="AP185" s="23">
        <f>L65/SIN(L63)*O56*AP183/AI171/1000</f>
        <v>2.367473742325148</v>
      </c>
      <c r="AQ185" s="9" t="s">
        <v>212</v>
      </c>
    </row>
    <row r="186" spans="2:44" s="9" customFormat="1" hidden="1" x14ac:dyDescent="0.3">
      <c r="C186" s="12"/>
      <c r="K186" s="45" t="s">
        <v>123</v>
      </c>
      <c r="M186" s="23">
        <f>L66+R55</f>
        <v>12.25</v>
      </c>
      <c r="N186" s="9" t="s">
        <v>0</v>
      </c>
      <c r="T186" s="45" t="s">
        <v>122</v>
      </c>
      <c r="U186" s="9" t="s">
        <v>53</v>
      </c>
      <c r="W186" s="23">
        <f>0.5*W184</f>
        <v>10</v>
      </c>
      <c r="X186" s="9" t="s">
        <v>0</v>
      </c>
      <c r="AF186" s="21"/>
    </row>
    <row r="187" spans="2:44" s="9" customFormat="1" ht="15.6" hidden="1" x14ac:dyDescent="0.35">
      <c r="C187" s="12"/>
      <c r="K187" s="45" t="str">
        <f>IF(M186&lt;M183,"Притиснути део ребра је са подужним укрућењем","Притиснути део ребра је без подужног укрућења")</f>
        <v>Притиснути део ребра је са подужним укрућењем</v>
      </c>
      <c r="P187" s="55" t="s">
        <v>374</v>
      </c>
      <c r="Q187" s="9">
        <f>O59</f>
        <v>320</v>
      </c>
      <c r="R187" s="9" t="s">
        <v>4</v>
      </c>
      <c r="AD187" s="9" t="s">
        <v>393</v>
      </c>
      <c r="AF187" s="9" t="s">
        <v>394</v>
      </c>
      <c r="AM187" s="9" t="s">
        <v>393</v>
      </c>
      <c r="AO187" s="9" t="s">
        <v>394</v>
      </c>
    </row>
    <row r="188" spans="2:44" s="9" customFormat="1" ht="15.6" hidden="1" x14ac:dyDescent="0.35">
      <c r="C188" s="12"/>
      <c r="K188" s="45" t="s">
        <v>372</v>
      </c>
      <c r="P188" s="55" t="s">
        <v>373</v>
      </c>
      <c r="Q188" s="9">
        <v>1</v>
      </c>
      <c r="T188" s="9" t="s">
        <v>54</v>
      </c>
    </row>
    <row r="189" spans="2:44" s="9" customFormat="1" ht="15.6" hidden="1" x14ac:dyDescent="0.35">
      <c r="C189" s="12"/>
      <c r="K189" s="45" t="s">
        <v>80</v>
      </c>
      <c r="O189" s="23">
        <f>0.76*O56*SQRT(O60/(Q188*Q187))</f>
        <v>14.601904841492431</v>
      </c>
      <c r="P189" s="9" t="s">
        <v>0</v>
      </c>
      <c r="S189" s="11"/>
      <c r="T189" s="12" t="s">
        <v>25</v>
      </c>
      <c r="U189" s="12" t="s">
        <v>339</v>
      </c>
      <c r="V189" s="12" t="s">
        <v>30</v>
      </c>
      <c r="W189" s="12" t="s">
        <v>29</v>
      </c>
      <c r="X189" s="12" t="s">
        <v>31</v>
      </c>
      <c r="Y189" s="12" t="s">
        <v>340</v>
      </c>
      <c r="Z189" s="12" t="s">
        <v>26</v>
      </c>
      <c r="AA189" s="12" t="s">
        <v>341</v>
      </c>
      <c r="AD189" s="9" t="s">
        <v>395</v>
      </c>
      <c r="AE189" s="23">
        <f>IF(AH185&lt;=AH172,AH185,AH172)</f>
        <v>5.713588260882422</v>
      </c>
      <c r="AF189" s="9" t="s">
        <v>212</v>
      </c>
      <c r="AM189" s="9" t="s">
        <v>395</v>
      </c>
      <c r="AN189" s="23">
        <f>IF(AP185&lt;=AH172,AP185,AH172)</f>
        <v>2.367473742325148</v>
      </c>
      <c r="AO189" s="9" t="s">
        <v>212</v>
      </c>
      <c r="AQ189" s="23"/>
    </row>
    <row r="190" spans="2:44" s="9" customFormat="1" hidden="1" x14ac:dyDescent="0.3">
      <c r="C190" s="12"/>
      <c r="K190" s="45" t="s">
        <v>81</v>
      </c>
      <c r="O190" s="23">
        <f>O189</f>
        <v>14.601904841492431</v>
      </c>
      <c r="P190" s="9" t="s">
        <v>0</v>
      </c>
      <c r="S190" s="11">
        <v>1</v>
      </c>
      <c r="T190" s="12">
        <v>2</v>
      </c>
      <c r="U190" s="3">
        <f>W185</f>
        <v>10</v>
      </c>
      <c r="V190" s="3">
        <f>T190*U190</f>
        <v>20</v>
      </c>
      <c r="W190" s="3">
        <v>0</v>
      </c>
      <c r="X190" s="35">
        <f>V190*W190</f>
        <v>0</v>
      </c>
      <c r="Y190" s="23">
        <f>X190*W190</f>
        <v>0</v>
      </c>
      <c r="Z190" s="35">
        <v>0</v>
      </c>
      <c r="AA190" s="35">
        <f>Z190*Z190*V190/12</f>
        <v>0</v>
      </c>
    </row>
    <row r="191" spans="2:44" s="9" customFormat="1" ht="15.6" hidden="1" x14ac:dyDescent="0.35">
      <c r="C191" s="12"/>
      <c r="K191" s="45" t="s">
        <v>124</v>
      </c>
      <c r="O191" s="23">
        <f>(1+0.5*L66/M183)*O190</f>
        <v>16.996409996719827</v>
      </c>
      <c r="P191" s="9" t="s">
        <v>0</v>
      </c>
      <c r="S191" s="11">
        <v>2</v>
      </c>
      <c r="T191" s="12">
        <v>2</v>
      </c>
      <c r="U191" s="3">
        <f>U127</f>
        <v>9.9323427714554757</v>
      </c>
      <c r="V191" s="3">
        <f t="shared" ref="V191:V194" si="27">T191*U191</f>
        <v>19.864685542910951</v>
      </c>
      <c r="W191" s="3">
        <f>U66/2</f>
        <v>4.125</v>
      </c>
      <c r="X191" s="35">
        <f t="shared" ref="X191:X194" si="28">V191*W191</f>
        <v>81.941827864507673</v>
      </c>
      <c r="Y191" s="23">
        <f t="shared" ref="Y191:Y194" si="29">X191*W191</f>
        <v>338.01003994109413</v>
      </c>
      <c r="Z191" s="35">
        <f>U66</f>
        <v>8.25</v>
      </c>
      <c r="AA191" s="35">
        <f t="shared" ref="AA191:AA194" si="30">Z191*Z191*V191/12</f>
        <v>112.67001331369805</v>
      </c>
      <c r="AD191" s="9" t="s">
        <v>396</v>
      </c>
      <c r="AE191" s="58" t="s">
        <v>397</v>
      </c>
      <c r="AH191" s="23">
        <f>AE189*SIN(L63)*2*1000/300</f>
        <v>31.63879475159149</v>
      </c>
      <c r="AI191" s="9" t="s">
        <v>157</v>
      </c>
      <c r="AM191" s="9" t="s">
        <v>396</v>
      </c>
      <c r="AN191" s="58" t="s">
        <v>397</v>
      </c>
      <c r="AQ191" s="23">
        <f>AN189*SIN(L63)*2*1000/300</f>
        <v>13.109802875721952</v>
      </c>
      <c r="AR191" s="9" t="s">
        <v>157</v>
      </c>
    </row>
    <row r="192" spans="2:44" s="9" customFormat="1" hidden="1" x14ac:dyDescent="0.3">
      <c r="C192" s="12"/>
      <c r="K192" s="45" t="s">
        <v>249</v>
      </c>
      <c r="M192" s="11"/>
      <c r="N192" s="23"/>
      <c r="O192" s="23">
        <f>O190+O191</f>
        <v>31.598314838212257</v>
      </c>
      <c r="P192" s="9" t="s">
        <v>0</v>
      </c>
      <c r="Q192" s="23" t="s">
        <v>252</v>
      </c>
      <c r="S192" s="11">
        <v>3</v>
      </c>
      <c r="T192" s="12">
        <v>2</v>
      </c>
      <c r="U192" s="3">
        <f>U128</f>
        <v>4.4721359549995796</v>
      </c>
      <c r="V192" s="3">
        <f t="shared" si="27"/>
        <v>8.9442719099991592</v>
      </c>
      <c r="W192" s="3">
        <f>U66+AA55/2</f>
        <v>10.25</v>
      </c>
      <c r="X192" s="35">
        <f t="shared" si="28"/>
        <v>91.678787077491378</v>
      </c>
      <c r="Y192" s="23">
        <f t="shared" si="29"/>
        <v>939.70756754428658</v>
      </c>
      <c r="Z192" s="35">
        <f>AA55</f>
        <v>4</v>
      </c>
      <c r="AA192" s="35">
        <f t="shared" si="30"/>
        <v>11.925695879998878</v>
      </c>
    </row>
    <row r="193" spans="1:45" s="9" customFormat="1" hidden="1" x14ac:dyDescent="0.3">
      <c r="C193" s="12"/>
      <c r="K193" s="52"/>
      <c r="M193" s="11"/>
      <c r="O193" s="23"/>
      <c r="P193" s="4" t="s">
        <v>248</v>
      </c>
      <c r="S193" s="11">
        <v>4</v>
      </c>
      <c r="T193" s="12">
        <v>2</v>
      </c>
      <c r="U193" s="3">
        <f>U86</f>
        <v>26.034777264572686</v>
      </c>
      <c r="V193" s="3">
        <f t="shared" si="27"/>
        <v>52.069554529145371</v>
      </c>
      <c r="W193" s="3">
        <f>U65-AA54/2</f>
        <v>23.25</v>
      </c>
      <c r="X193" s="35">
        <f t="shared" si="28"/>
        <v>1210.6171428026298</v>
      </c>
      <c r="Y193" s="23">
        <f t="shared" si="29"/>
        <v>28146.848570161143</v>
      </c>
      <c r="Z193" s="35">
        <f>AA54</f>
        <v>22</v>
      </c>
      <c r="AA193" s="35">
        <f t="shared" si="30"/>
        <v>2100.1386993421966</v>
      </c>
      <c r="AD193" s="57" t="s">
        <v>176</v>
      </c>
    </row>
    <row r="194" spans="1:45" s="9" customFormat="1" ht="15.6" hidden="1" x14ac:dyDescent="0.35">
      <c r="C194" s="12"/>
      <c r="K194" s="45" t="s">
        <v>253</v>
      </c>
      <c r="O194" s="23">
        <f>(1+0.5*(L66+R55)/M183)*O189</f>
        <v>18.157382193193712</v>
      </c>
      <c r="S194" s="11">
        <v>5</v>
      </c>
      <c r="T194" s="12">
        <v>1</v>
      </c>
      <c r="U194" s="3">
        <f>U87</f>
        <v>134.7016693470247</v>
      </c>
      <c r="V194" s="3">
        <f t="shared" si="27"/>
        <v>134.7016693470247</v>
      </c>
      <c r="W194" s="3">
        <f>U65</f>
        <v>34.25</v>
      </c>
      <c r="X194" s="35">
        <f t="shared" si="28"/>
        <v>4613.5321751355959</v>
      </c>
      <c r="Y194" s="23">
        <f t="shared" si="29"/>
        <v>158013.47699839415</v>
      </c>
      <c r="Z194" s="35">
        <f>0</f>
        <v>0</v>
      </c>
      <c r="AA194" s="35">
        <f t="shared" si="30"/>
        <v>0</v>
      </c>
      <c r="AI194" s="11" t="s">
        <v>398</v>
      </c>
      <c r="AJ194" s="4">
        <v>1</v>
      </c>
      <c r="AM194" s="9" t="s">
        <v>396</v>
      </c>
      <c r="AN194" s="45" t="s">
        <v>293</v>
      </c>
      <c r="AR194" s="12" t="s">
        <v>268</v>
      </c>
      <c r="AS194" s="12" t="s">
        <v>294</v>
      </c>
    </row>
    <row r="195" spans="1:45" s="9" customFormat="1" ht="15.6" hidden="1" x14ac:dyDescent="0.35">
      <c r="A195" s="45"/>
      <c r="C195" s="3"/>
      <c r="E195" s="23"/>
      <c r="K195" s="45" t="s">
        <v>254</v>
      </c>
      <c r="O195" s="23">
        <f>1.5*O189</f>
        <v>21.902857262238648</v>
      </c>
      <c r="V195" s="23">
        <f>SUM(V190:V194)</f>
        <v>235.58018132908018</v>
      </c>
      <c r="X195" s="35">
        <f>SUM(X190:X194)</f>
        <v>5997.7699328802246</v>
      </c>
      <c r="Y195" s="23">
        <f>SUM(Y190:Y194)</f>
        <v>187438.04317604066</v>
      </c>
      <c r="AA195" s="23">
        <f>SUM(AA190:AA194)</f>
        <v>2224.7344085358936</v>
      </c>
      <c r="AD195" s="9" t="s">
        <v>399</v>
      </c>
      <c r="AE195" s="60" t="s">
        <v>400</v>
      </c>
      <c r="AM195" s="9" t="s">
        <v>396</v>
      </c>
      <c r="AN195" s="9" t="s">
        <v>295</v>
      </c>
      <c r="AQ195" s="12">
        <v>1</v>
      </c>
      <c r="AR195" s="12">
        <v>0.5</v>
      </c>
      <c r="AS195" s="3">
        <f>100*$AO$196/(1.5*AR195*$C$8)</f>
        <v>434.32676252406509</v>
      </c>
    </row>
    <row r="196" spans="1:45" s="9" customFormat="1" hidden="1" x14ac:dyDescent="0.3">
      <c r="C196" s="12"/>
      <c r="K196" s="45" t="s">
        <v>255</v>
      </c>
      <c r="M196" s="35"/>
      <c r="O196" s="41">
        <f>(R54-L65+M183)/SIN(L63)</f>
        <v>15.536129519905877</v>
      </c>
      <c r="P196" s="29"/>
      <c r="T196" s="9" t="s">
        <v>343</v>
      </c>
      <c r="V196" s="3">
        <f>X195/V195</f>
        <v>25.459569217760237</v>
      </c>
      <c r="W196" s="9" t="s">
        <v>0</v>
      </c>
      <c r="AI196" s="9" t="s">
        <v>229</v>
      </c>
      <c r="AM196" s="9" t="s">
        <v>296</v>
      </c>
      <c r="AO196" s="23">
        <f>AQ191-IF(C9=1,B1045,IF(C9=2,B105,IF(C9=3,B106,IF(C9=4,B107,IF(C9=5,B108)))))</f>
        <v>13.029802875721952</v>
      </c>
      <c r="AQ196" s="12">
        <v>2</v>
      </c>
      <c r="AR196" s="12">
        <v>1.25</v>
      </c>
      <c r="AS196" s="3">
        <f>100*$AO$196/(1.5*AR196*$C$8)</f>
        <v>173.73070500962604</v>
      </c>
    </row>
    <row r="197" spans="1:45" s="9" customFormat="1" hidden="1" x14ac:dyDescent="0.3">
      <c r="C197" s="12"/>
      <c r="K197" s="45" t="s">
        <v>256</v>
      </c>
      <c r="O197" s="23">
        <f>O194+O195</f>
        <v>40.06023945543236</v>
      </c>
      <c r="Q197" s="9" t="s">
        <v>257</v>
      </c>
      <c r="AD197" s="45" t="s">
        <v>401</v>
      </c>
      <c r="AE197" s="9">
        <v>7.4999999999999997E-2</v>
      </c>
      <c r="AF197" s="9" t="s">
        <v>184</v>
      </c>
      <c r="AI197" s="11" t="s">
        <v>230</v>
      </c>
      <c r="AJ197" s="12" t="e">
        <f>#REF!</f>
        <v>#REF!</v>
      </c>
      <c r="AK197" s="9" t="s">
        <v>0</v>
      </c>
      <c r="AQ197" s="12">
        <v>3</v>
      </c>
      <c r="AR197" s="12">
        <v>1.1000000000000001</v>
      </c>
      <c r="AS197" s="3">
        <f>100*$AO$196/(1.5*AR197*$C$8)</f>
        <v>197.42125569275683</v>
      </c>
    </row>
    <row r="198" spans="1:45" s="9" customFormat="1" hidden="1" x14ac:dyDescent="0.3">
      <c r="C198" s="12"/>
      <c r="P198" s="4" t="s">
        <v>248</v>
      </c>
      <c r="T198" s="45" t="s">
        <v>78</v>
      </c>
      <c r="AD198" s="45" t="s">
        <v>401</v>
      </c>
      <c r="AE198" s="9">
        <v>0.15</v>
      </c>
      <c r="AF198" s="9" t="s">
        <v>189</v>
      </c>
      <c r="AI198" s="11" t="s">
        <v>231</v>
      </c>
      <c r="AJ198" s="12">
        <f>G36</f>
        <v>0</v>
      </c>
      <c r="AK198" s="9" t="s">
        <v>0</v>
      </c>
      <c r="AO198" s="23"/>
      <c r="AQ198" s="12">
        <v>4</v>
      </c>
      <c r="AR198" s="12">
        <v>1.143</v>
      </c>
      <c r="AS198" s="3">
        <f>100*$AO$196/(1.5*AR198*$C$8)</f>
        <v>189.99420932811245</v>
      </c>
    </row>
    <row r="199" spans="1:45" s="9" customFormat="1" hidden="1" x14ac:dyDescent="0.3">
      <c r="C199" s="12"/>
      <c r="T199" s="45" t="s">
        <v>123</v>
      </c>
      <c r="V199" s="23">
        <f>U66+AA55</f>
        <v>12.25</v>
      </c>
      <c r="W199" s="9" t="s">
        <v>0</v>
      </c>
      <c r="AD199" s="45" t="s">
        <v>232</v>
      </c>
      <c r="AE199" s="9">
        <v>10</v>
      </c>
      <c r="AF199" s="9" t="s">
        <v>0</v>
      </c>
      <c r="AQ199" s="12">
        <v>5</v>
      </c>
      <c r="AR199" s="12">
        <v>1.1319999999999999</v>
      </c>
      <c r="AS199" s="3">
        <f>100*$AO$196/(1.5*AR199*$C$8)</f>
        <v>191.84044281098281</v>
      </c>
    </row>
    <row r="200" spans="1:45" s="9" customFormat="1" ht="15.6" hidden="1" x14ac:dyDescent="0.35">
      <c r="C200" s="12"/>
      <c r="F200" s="23"/>
      <c r="K200" s="45" t="s">
        <v>127</v>
      </c>
      <c r="L200" s="11"/>
      <c r="M200" s="4"/>
      <c r="O200" s="41"/>
      <c r="P200" s="29"/>
      <c r="T200" s="45" t="str">
        <f>IF(V199&lt;V196,"Притиснути део ребра је са подужним укрућењем","Притиснути део ребра је без подужног укрућења")</f>
        <v>Притиснути део ребра је са подужним укрућењем</v>
      </c>
      <c r="Y200" s="55" t="s">
        <v>374</v>
      </c>
      <c r="Z200" s="9">
        <f>X59</f>
        <v>320</v>
      </c>
      <c r="AA200" s="9" t="s">
        <v>4</v>
      </c>
      <c r="AD200" s="9" t="s">
        <v>399</v>
      </c>
      <c r="AE200" s="26" t="s">
        <v>402</v>
      </c>
      <c r="AF200" s="48" t="e">
        <f>$C$6*$C$6*SQRT($C$5*$N$60)*(1-0.1*SQRT($N$57/$C$6))*(0.5+(SQRT(0.02*AE199/$C$6)*(2.4+($K$64/90)^2)))/1000/AJ194</f>
        <v>#VALUE!</v>
      </c>
      <c r="AR200" s="11" t="s">
        <v>297</v>
      </c>
      <c r="AS200" s="9">
        <f>IF(C9=1,AS195,IF(C9=2,AS196,IF(C9=3,AS197,IF(C9=4,AS198,IF(C9=5,AS199)))))</f>
        <v>197.42125569275683</v>
      </c>
    </row>
    <row r="201" spans="1:45" s="9" customFormat="1" ht="15.6" hidden="1" x14ac:dyDescent="0.35">
      <c r="C201" s="12"/>
      <c r="K201" s="50" t="s">
        <v>128</v>
      </c>
      <c r="M201" s="53"/>
      <c r="O201" s="35">
        <f>M183</f>
        <v>25.154615908703796</v>
      </c>
      <c r="P201" s="29" t="s">
        <v>0</v>
      </c>
      <c r="T201" s="45" t="s">
        <v>372</v>
      </c>
      <c r="Y201" s="55" t="s">
        <v>373</v>
      </c>
      <c r="Z201" s="9">
        <v>1</v>
      </c>
      <c r="AD201" s="9" t="s">
        <v>184</v>
      </c>
    </row>
    <row r="202" spans="1:45" s="9" customFormat="1" ht="15.6" hidden="1" x14ac:dyDescent="0.35">
      <c r="C202" s="12"/>
      <c r="K202" s="9" t="s">
        <v>105</v>
      </c>
      <c r="L202" s="11"/>
      <c r="M202" s="50"/>
      <c r="O202" s="23">
        <f>O56*M181</f>
        <v>176.13</v>
      </c>
      <c r="P202" s="9" t="s">
        <v>45</v>
      </c>
      <c r="T202" s="45" t="s">
        <v>80</v>
      </c>
      <c r="X202" s="23">
        <f>0.76*X56*SQRT(X60/(Z201*Z200))</f>
        <v>14.601904841492431</v>
      </c>
      <c r="Y202" s="9" t="s">
        <v>0</v>
      </c>
      <c r="AD202" s="9" t="s">
        <v>403</v>
      </c>
      <c r="AE202" s="23" t="e">
        <f>AE197*AF200</f>
        <v>#VALUE!</v>
      </c>
      <c r="AF202" s="9" t="s">
        <v>212</v>
      </c>
      <c r="AH202" s="9" t="s">
        <v>403</v>
      </c>
      <c r="AI202" s="23" t="e">
        <f>2*AE202*1000/V74</f>
        <v>#VALUE!</v>
      </c>
      <c r="AJ202" s="9" t="s">
        <v>157</v>
      </c>
    </row>
    <row r="203" spans="1:45" s="9" customFormat="1" hidden="1" x14ac:dyDescent="0.3">
      <c r="C203" s="12"/>
      <c r="K203" s="9" t="s">
        <v>375</v>
      </c>
      <c r="L203" s="11"/>
      <c r="M203" s="50"/>
      <c r="O203" s="23">
        <f>O56*(P181+R181-M181*O201*O201)</f>
        <v>26372.620672266232</v>
      </c>
      <c r="P203" s="9" t="s">
        <v>47</v>
      </c>
      <c r="Q203" s="23">
        <f>O203*1000/L55/10000</f>
        <v>13.186310336133117</v>
      </c>
      <c r="R203" s="9" t="s">
        <v>131</v>
      </c>
      <c r="T203" s="45" t="s">
        <v>81</v>
      </c>
      <c r="X203" s="23">
        <f>X202</f>
        <v>14.601904841492431</v>
      </c>
      <c r="Y203" s="9" t="s">
        <v>0</v>
      </c>
    </row>
    <row r="204" spans="1:45" s="9" customFormat="1" hidden="1" x14ac:dyDescent="0.3">
      <c r="C204" s="12"/>
      <c r="K204" s="45" t="s">
        <v>106</v>
      </c>
      <c r="L204" s="11"/>
      <c r="M204" s="50"/>
      <c r="O204" s="23">
        <f>O203/O201</f>
        <v>1048.4207259607169</v>
      </c>
      <c r="P204" s="9" t="s">
        <v>107</v>
      </c>
      <c r="Q204" s="23">
        <f>10*Q203/O201</f>
        <v>5.2421036298035846</v>
      </c>
      <c r="R204" s="9" t="s">
        <v>113</v>
      </c>
      <c r="T204" s="45" t="s">
        <v>124</v>
      </c>
      <c r="X204" s="23">
        <f>(1+0.5*U66/V196)*X203</f>
        <v>16.967728746680059</v>
      </c>
      <c r="Y204" s="9" t="s">
        <v>0</v>
      </c>
      <c r="AD204" s="9" t="s">
        <v>189</v>
      </c>
    </row>
    <row r="205" spans="1:45" s="9" customFormat="1" ht="15.6" hidden="1" x14ac:dyDescent="0.35">
      <c r="C205" s="12"/>
      <c r="T205" s="45" t="s">
        <v>404</v>
      </c>
      <c r="U205" s="57"/>
      <c r="X205" s="23">
        <f>(1+0.5*(U66+AA55)/V196)*X202</f>
        <v>18.114794882528606</v>
      </c>
      <c r="Y205" s="9" t="s">
        <v>0</v>
      </c>
      <c r="Z205" s="23"/>
      <c r="AD205" s="9" t="s">
        <v>405</v>
      </c>
      <c r="AE205" s="23" t="e">
        <f>AE198*AF200</f>
        <v>#VALUE!</v>
      </c>
      <c r="AF205" s="9" t="s">
        <v>212</v>
      </c>
      <c r="AH205" s="9" t="s">
        <v>405</v>
      </c>
      <c r="AI205" s="23" t="e">
        <f>2*AE205*1000/V74</f>
        <v>#VALUE!</v>
      </c>
      <c r="AJ205" s="9" t="s">
        <v>157</v>
      </c>
    </row>
    <row r="206" spans="1:45" s="9" customFormat="1" hidden="1" x14ac:dyDescent="0.3">
      <c r="C206" s="12"/>
      <c r="K206" s="52" t="s">
        <v>111</v>
      </c>
      <c r="M206" s="11"/>
      <c r="N206" s="23"/>
      <c r="T206" s="52" t="s">
        <v>125</v>
      </c>
      <c r="V206" s="11"/>
      <c r="X206" s="23">
        <f>1.5*X202</f>
        <v>21.902857262238648</v>
      </c>
      <c r="Y206" s="4" t="s">
        <v>0</v>
      </c>
    </row>
    <row r="207" spans="1:45" s="9" customFormat="1" hidden="1" x14ac:dyDescent="0.3">
      <c r="C207" s="12"/>
      <c r="H207" s="3"/>
      <c r="K207" s="52" t="s">
        <v>129</v>
      </c>
      <c r="M207" s="11"/>
      <c r="N207" s="23"/>
      <c r="T207" s="45" t="s">
        <v>126</v>
      </c>
      <c r="V207" s="11"/>
      <c r="W207" s="23"/>
      <c r="X207" s="23">
        <f>SUM(X202:X206)</f>
        <v>86.189190574432189</v>
      </c>
      <c r="Y207" s="9" t="s">
        <v>0</v>
      </c>
      <c r="AD207" s="57" t="s">
        <v>233</v>
      </c>
    </row>
    <row r="208" spans="1:45" s="9" customFormat="1" ht="16.2" hidden="1" x14ac:dyDescent="0.3">
      <c r="C208" s="12"/>
      <c r="H208" s="3"/>
      <c r="K208" s="45" t="s">
        <v>406</v>
      </c>
      <c r="N208" s="23">
        <f>O59*Q204/Q208/1000</f>
        <v>1.677473161537147</v>
      </c>
      <c r="O208" s="9" t="s">
        <v>22</v>
      </c>
      <c r="P208" s="26" t="s">
        <v>371</v>
      </c>
      <c r="Q208" s="12">
        <v>1</v>
      </c>
      <c r="T208" s="45" t="s">
        <v>407</v>
      </c>
      <c r="V208" s="35"/>
      <c r="X208" s="23">
        <f>X66-(U65-V196)/SIN(U63)-AA55/SIN(U63)+AA65</f>
        <v>30.307747736644345</v>
      </c>
      <c r="Y208" s="9" t="s">
        <v>0</v>
      </c>
      <c r="Z208" s="9" t="str">
        <f>IF(X208&lt;X207,"&lt; SumSeff","&gt; SumSeff")</f>
        <v>&lt; SumSeff</v>
      </c>
      <c r="AK208" s="11" t="s">
        <v>234</v>
      </c>
      <c r="AL208" s="4">
        <f>V84/O56</f>
        <v>26.486247390547934</v>
      </c>
      <c r="AN208" s="4"/>
    </row>
    <row r="209" spans="3:40" s="9" customFormat="1" hidden="1" x14ac:dyDescent="0.3">
      <c r="C209" s="12"/>
      <c r="K209" s="45"/>
      <c r="P209" s="55"/>
      <c r="S209" s="11"/>
      <c r="T209" s="45" t="str">
        <f>IF(X208&lt;X207,"Цело притиснуро ребро је активно","")</f>
        <v>Цело притиснуро ребро је активно</v>
      </c>
      <c r="V209" s="35"/>
      <c r="X209" s="41"/>
      <c r="Y209" s="29"/>
      <c r="AF209" s="57"/>
      <c r="AK209" s="9" t="s">
        <v>235</v>
      </c>
      <c r="AL209" s="61">
        <f>O57/O56</f>
        <v>2.6666666666666665</v>
      </c>
    </row>
    <row r="210" spans="3:40" s="9" customFormat="1" hidden="1" x14ac:dyDescent="0.3">
      <c r="C210" s="12"/>
      <c r="J210" s="9" t="s">
        <v>190</v>
      </c>
      <c r="T210" s="45" t="s">
        <v>127</v>
      </c>
      <c r="U210" s="11"/>
      <c r="V210" s="4"/>
      <c r="X210" s="41"/>
      <c r="Y210" s="29"/>
      <c r="AD210" s="4" t="s">
        <v>236</v>
      </c>
      <c r="AF210" s="46">
        <f>O59/228</f>
        <v>1.4035087719298245</v>
      </c>
      <c r="AH210" s="4" t="s">
        <v>237</v>
      </c>
      <c r="AI210" s="12"/>
      <c r="AJ210" s="12"/>
      <c r="AK210" s="26" t="s">
        <v>408</v>
      </c>
      <c r="AL210" s="4">
        <v>1</v>
      </c>
    </row>
    <row r="211" spans="3:40" s="9" customFormat="1" hidden="1" x14ac:dyDescent="0.3">
      <c r="C211" s="12"/>
      <c r="J211" s="9" t="s">
        <v>191</v>
      </c>
      <c r="T211" s="50" t="s">
        <v>128</v>
      </c>
      <c r="V211" s="53"/>
      <c r="X211" s="35">
        <f>V196</f>
        <v>25.459569217760237</v>
      </c>
      <c r="Y211" s="29" t="s">
        <v>0</v>
      </c>
      <c r="AD211" s="9" t="s">
        <v>238</v>
      </c>
      <c r="AF211" s="62">
        <f>1.33-0.33*AF210</f>
        <v>0.86684210526315797</v>
      </c>
      <c r="AH211" s="12"/>
      <c r="AI211" s="3"/>
      <c r="AJ211" s="32"/>
      <c r="AK211" s="32"/>
    </row>
    <row r="212" spans="3:40" s="9" customFormat="1" ht="15" hidden="1" x14ac:dyDescent="0.35">
      <c r="C212" s="12"/>
      <c r="J212" s="45" t="s">
        <v>409</v>
      </c>
      <c r="L212" s="23">
        <f>O59/1.5</f>
        <v>213.33333333333334</v>
      </c>
      <c r="M212" s="9" t="s">
        <v>4</v>
      </c>
      <c r="P212" s="11" t="s">
        <v>410</v>
      </c>
      <c r="Q212" s="9">
        <v>4</v>
      </c>
      <c r="T212" s="9" t="s">
        <v>105</v>
      </c>
      <c r="U212" s="11"/>
      <c r="V212" s="50"/>
      <c r="X212" s="23">
        <f>X56*V195</f>
        <v>176.68513599681012</v>
      </c>
      <c r="Y212" s="9" t="s">
        <v>45</v>
      </c>
      <c r="AD212" s="9" t="s">
        <v>239</v>
      </c>
      <c r="AF212" s="46">
        <f>IF(AK212&lt;0.5,AL212,AM212)</f>
        <v>0.99732142857142847</v>
      </c>
      <c r="AH212" s="12" t="s">
        <v>240</v>
      </c>
      <c r="AI212" s="3"/>
      <c r="AK212" s="46">
        <f>1.15-0.15*57/56</f>
        <v>0.99732142857142847</v>
      </c>
      <c r="AL212" s="9">
        <f>IF(AK212&lt;0.5,0.5,AK212)</f>
        <v>0.99732142857142847</v>
      </c>
      <c r="AM212" s="9">
        <f>IF(AK212&gt;=1,1,AK212)</f>
        <v>0.99732142857142847</v>
      </c>
    </row>
    <row r="213" spans="3:40" s="9" customFormat="1" hidden="1" x14ac:dyDescent="0.3">
      <c r="C213" s="12"/>
      <c r="J213" s="45" t="s">
        <v>349</v>
      </c>
      <c r="L213" s="38">
        <f>SQRT(235/L212)</f>
        <v>1.0495534764841665</v>
      </c>
      <c r="T213" s="9" t="s">
        <v>375</v>
      </c>
      <c r="U213" s="11"/>
      <c r="V213" s="50"/>
      <c r="X213" s="23">
        <f>X56*(Y195+AA195-V195*X211*X211)</f>
        <v>27721.604119658499</v>
      </c>
      <c r="Y213" s="9" t="s">
        <v>47</v>
      </c>
      <c r="Z213" s="23">
        <f>X213*1000/U55/10000</f>
        <v>13.860802059829251</v>
      </c>
      <c r="AA213" s="9" t="s">
        <v>131</v>
      </c>
      <c r="AD213" s="4" t="s">
        <v>411</v>
      </c>
      <c r="AF213" s="46">
        <f>0.7+0.3*(V83/90)^2</f>
        <v>0.71481481481481479</v>
      </c>
      <c r="AH213" s="12"/>
      <c r="AI213" s="3"/>
      <c r="AJ213" s="32"/>
      <c r="AK213" s="32"/>
    </row>
    <row r="214" spans="3:40" s="9" customFormat="1" hidden="1" x14ac:dyDescent="0.3">
      <c r="C214" s="12"/>
      <c r="J214" s="9" t="s">
        <v>163</v>
      </c>
      <c r="M214" s="46"/>
      <c r="T214" s="45" t="s">
        <v>106</v>
      </c>
      <c r="U214" s="11"/>
      <c r="V214" s="50"/>
      <c r="X214" s="23">
        <f>X213/X211</f>
        <v>1088.8481216060914</v>
      </c>
      <c r="Y214" s="9" t="s">
        <v>107</v>
      </c>
      <c r="AD214" s="9" t="s">
        <v>241</v>
      </c>
      <c r="AF214" s="46">
        <f>1.22-0.22*AF210</f>
        <v>0.91122807017543861</v>
      </c>
      <c r="AH214" s="12"/>
      <c r="AI214" s="3"/>
      <c r="AJ214" s="32"/>
      <c r="AK214" s="9" t="s">
        <v>412</v>
      </c>
      <c r="AL214" s="9" t="s">
        <v>242</v>
      </c>
    </row>
    <row r="215" spans="3:40" s="9" customFormat="1" hidden="1" x14ac:dyDescent="0.3">
      <c r="C215" s="12"/>
      <c r="J215" s="9" t="s">
        <v>206</v>
      </c>
      <c r="P215" s="11" t="s">
        <v>192</v>
      </c>
      <c r="Q215" s="12">
        <f>O54</f>
        <v>52.5</v>
      </c>
      <c r="R215" s="9" t="s">
        <v>0</v>
      </c>
      <c r="AD215" s="9" t="s">
        <v>243</v>
      </c>
      <c r="AF215" s="46">
        <f>IF((1.06-0.06*O57/O56)&lt;=1,(1.06-0.06*O57/O56),1)</f>
        <v>0.9</v>
      </c>
      <c r="AH215" s="12" t="s">
        <v>244</v>
      </c>
      <c r="AK215" s="63" t="e">
        <f>#REF!</f>
        <v>#REF!</v>
      </c>
      <c r="AL215" s="63">
        <f>G36</f>
        <v>0</v>
      </c>
    </row>
    <row r="216" spans="3:40" s="9" customFormat="1" hidden="1" x14ac:dyDescent="0.3">
      <c r="C216" s="12"/>
      <c r="J216" s="45" t="s">
        <v>351</v>
      </c>
      <c r="M216" s="47">
        <f>(O54/O56)/(28.4*L213*SQRT(Q212))</f>
        <v>1.1742082645712384</v>
      </c>
      <c r="N216" s="9" t="str">
        <f>IF(M216&lt;0.673,"&lt;= 0.673","&gt; 0.673")</f>
        <v>&gt; 0.673</v>
      </c>
      <c r="P216" s="26" t="s">
        <v>348</v>
      </c>
      <c r="Q216" s="23">
        <v>1</v>
      </c>
      <c r="T216" s="45" t="s">
        <v>108</v>
      </c>
      <c r="V216" s="11"/>
      <c r="W216" s="23"/>
      <c r="AF216" s="3"/>
      <c r="AG216" s="3"/>
      <c r="AJ216" s="3"/>
      <c r="AK216" s="3"/>
    </row>
    <row r="217" spans="3:40" s="9" customFormat="1" hidden="1" x14ac:dyDescent="0.3">
      <c r="C217" s="12"/>
      <c r="J217" s="45" t="s">
        <v>37</v>
      </c>
      <c r="L217" s="23">
        <f>Q218*O54</f>
        <v>43.873271919654059</v>
      </c>
      <c r="M217" s="9" t="s">
        <v>0</v>
      </c>
      <c r="P217" s="45" t="s">
        <v>350</v>
      </c>
      <c r="T217" s="45" t="s">
        <v>109</v>
      </c>
      <c r="V217" s="11"/>
      <c r="W217" s="23"/>
      <c r="X217" s="23">
        <f>X214*1000/U55</f>
        <v>5444.2406080304563</v>
      </c>
      <c r="Y217" s="9" t="s">
        <v>107</v>
      </c>
      <c r="Z217" s="23"/>
      <c r="AG217" s="11"/>
      <c r="AH217" s="23"/>
      <c r="AI217" s="12"/>
      <c r="AJ217" s="12"/>
    </row>
    <row r="218" spans="3:40" s="9" customFormat="1" hidden="1" x14ac:dyDescent="0.3">
      <c r="C218" s="12"/>
      <c r="J218" s="45"/>
      <c r="P218" s="26" t="s">
        <v>36</v>
      </c>
      <c r="Q218" s="32">
        <f>IF(M216&lt;=0.673,1,(M216-0.0055*(3+Q216))/(M216*M216))</f>
        <v>0.83568136989817254</v>
      </c>
      <c r="X218" s="23">
        <f>X217/1000</f>
        <v>5.444240608030456</v>
      </c>
      <c r="Y218" s="9" t="s">
        <v>113</v>
      </c>
      <c r="AC218" s="9" t="s">
        <v>284</v>
      </c>
      <c r="AH218" s="3"/>
      <c r="AI218" s="3"/>
      <c r="AJ218" s="3"/>
      <c r="AL218" s="3"/>
      <c r="AN218" s="23"/>
    </row>
    <row r="219" spans="3:40" s="9" customFormat="1" hidden="1" x14ac:dyDescent="0.3">
      <c r="C219" s="12"/>
      <c r="F219" s="3"/>
      <c r="J219" s="45"/>
      <c r="P219" s="26"/>
      <c r="Q219" s="32"/>
      <c r="AC219" s="9" t="s">
        <v>413</v>
      </c>
      <c r="AD219" s="23">
        <f>C17</f>
        <v>63.67292281404778</v>
      </c>
      <c r="AE219" s="9" t="s">
        <v>285</v>
      </c>
      <c r="AF219" s="23"/>
      <c r="AG219" s="11" t="s">
        <v>151</v>
      </c>
      <c r="AH219" s="11" t="s">
        <v>152</v>
      </c>
      <c r="AI219" s="3">
        <f>E84</f>
        <v>6.913102499999999</v>
      </c>
      <c r="AJ219" s="9" t="s">
        <v>285</v>
      </c>
      <c r="AL219" s="3"/>
      <c r="AN219" s="23"/>
    </row>
    <row r="220" spans="3:40" s="9" customFormat="1" hidden="1" x14ac:dyDescent="0.3">
      <c r="C220" s="12"/>
      <c r="F220" s="3"/>
      <c r="G220" s="3"/>
      <c r="J220" s="45"/>
      <c r="P220" s="26"/>
      <c r="Q220" s="32"/>
      <c r="T220" s="52" t="s">
        <v>111</v>
      </c>
      <c r="V220" s="11"/>
      <c r="W220" s="23"/>
      <c r="AC220" s="9" t="s">
        <v>286</v>
      </c>
      <c r="AE220" s="23">
        <f>(1.35*AI219+1.5*AD219)/100</f>
        <v>1.0484207259607168</v>
      </c>
      <c r="AF220" s="9" t="s">
        <v>157</v>
      </c>
      <c r="AL220" s="3"/>
    </row>
    <row r="221" spans="3:40" s="9" customFormat="1" hidden="1" x14ac:dyDescent="0.3">
      <c r="C221" s="12"/>
      <c r="F221" s="3"/>
      <c r="G221" s="3"/>
      <c r="J221" s="9" t="s">
        <v>193</v>
      </c>
      <c r="T221" s="52" t="s">
        <v>129</v>
      </c>
      <c r="V221" s="11"/>
      <c r="W221" s="23"/>
    </row>
    <row r="222" spans="3:40" s="9" customFormat="1" ht="16.8" hidden="1" x14ac:dyDescent="0.35">
      <c r="C222" s="12"/>
      <c r="F222" s="3"/>
      <c r="G222" s="3"/>
      <c r="J222" s="45" t="s">
        <v>194</v>
      </c>
      <c r="K222" s="12"/>
      <c r="T222" s="45" t="s">
        <v>406</v>
      </c>
      <c r="W222" s="23">
        <f>X59*X217/Z222/1000000</f>
        <v>1.5837790859724963</v>
      </c>
      <c r="X222" s="9" t="s">
        <v>22</v>
      </c>
      <c r="Y222" s="26" t="s">
        <v>371</v>
      </c>
      <c r="Z222" s="12">
        <v>1.1000000000000001</v>
      </c>
      <c r="AC222" s="9" t="s">
        <v>173</v>
      </c>
      <c r="AD222" s="12" t="s">
        <v>287</v>
      </c>
      <c r="AE222" s="12" t="s">
        <v>414</v>
      </c>
      <c r="AF222" s="12" t="s">
        <v>169</v>
      </c>
      <c r="AG222" s="12" t="s">
        <v>309</v>
      </c>
      <c r="AL222" s="3"/>
      <c r="AN222" s="23"/>
    </row>
    <row r="223" spans="3:40" s="9" customFormat="1" hidden="1" x14ac:dyDescent="0.3">
      <c r="C223" s="12"/>
      <c r="F223" s="3"/>
      <c r="G223" s="3"/>
      <c r="J223" s="45" t="s">
        <v>195</v>
      </c>
      <c r="K223" s="12"/>
      <c r="L223" s="33"/>
      <c r="M223" s="33"/>
      <c r="N223" s="3"/>
      <c r="O223" s="34"/>
      <c r="P223" s="41"/>
      <c r="Q223" s="11"/>
      <c r="R223" s="35"/>
      <c r="AF223" s="12" t="s">
        <v>172</v>
      </c>
      <c r="AG223" s="12" t="s">
        <v>172</v>
      </c>
      <c r="AL223" s="3"/>
      <c r="AN223" s="23"/>
    </row>
    <row r="224" spans="3:40" s="9" customFormat="1" hidden="1" x14ac:dyDescent="0.3">
      <c r="C224" s="12"/>
      <c r="J224" s="45" t="s">
        <v>196</v>
      </c>
      <c r="K224" s="12"/>
      <c r="L224" s="33"/>
      <c r="M224" s="33"/>
      <c r="N224" s="3"/>
      <c r="O224" s="34"/>
      <c r="P224" s="41"/>
      <c r="Q224" s="11"/>
      <c r="R224" s="35"/>
      <c r="T224" s="4"/>
      <c r="AC224" s="12">
        <v>1</v>
      </c>
      <c r="AD224" s="12">
        <v>0.5</v>
      </c>
      <c r="AE224" s="12">
        <v>0.5</v>
      </c>
      <c r="AF224" s="3">
        <f t="shared" ref="AF224:AG228" si="31">$AJ$194*AD224*$AE$220*$C$8</f>
        <v>2.0968414519214336</v>
      </c>
      <c r="AG224" s="3">
        <f t="shared" si="31"/>
        <v>2.0968414519214336</v>
      </c>
      <c r="AL224" s="3"/>
    </row>
    <row r="225" spans="3:37" s="9" customFormat="1" hidden="1" x14ac:dyDescent="0.3">
      <c r="C225" s="12"/>
      <c r="G225" s="11"/>
      <c r="H225" s="46"/>
      <c r="L225" s="33"/>
      <c r="M225" s="33"/>
      <c r="N225" s="3"/>
      <c r="O225" s="34"/>
      <c r="P225" s="41"/>
      <c r="Q225" s="11"/>
      <c r="R225" s="35"/>
      <c r="U225" s="23"/>
      <c r="X225" s="11"/>
      <c r="Y225" s="12"/>
      <c r="AC225" s="12">
        <v>2</v>
      </c>
      <c r="AD225" s="12">
        <v>1.25</v>
      </c>
      <c r="AE225" s="12">
        <v>0.375</v>
      </c>
      <c r="AF225" s="3">
        <f t="shared" si="31"/>
        <v>5.2421036298035837</v>
      </c>
      <c r="AG225" s="3">
        <f t="shared" si="31"/>
        <v>1.5726310889410753</v>
      </c>
    </row>
    <row r="226" spans="3:37" s="9" customFormat="1" hidden="1" x14ac:dyDescent="0.3">
      <c r="C226" s="12"/>
      <c r="G226" s="11"/>
      <c r="J226" s="44" t="s">
        <v>197</v>
      </c>
      <c r="K226" s="12" t="s">
        <v>198</v>
      </c>
      <c r="L226" s="33" t="s">
        <v>199</v>
      </c>
      <c r="M226" s="33"/>
      <c r="N226" s="3" t="s">
        <v>200</v>
      </c>
      <c r="O226" s="33" t="s">
        <v>201</v>
      </c>
      <c r="P226" s="33" t="s">
        <v>202</v>
      </c>
      <c r="Q226" s="11"/>
      <c r="R226" s="35"/>
      <c r="U226" s="41"/>
      <c r="X226" s="45"/>
      <c r="AC226" s="12">
        <v>3</v>
      </c>
      <c r="AD226" s="12">
        <v>1.1000000000000001</v>
      </c>
      <c r="AE226" s="12">
        <v>0.4</v>
      </c>
      <c r="AF226" s="3">
        <f t="shared" si="31"/>
        <v>4.6130511942271539</v>
      </c>
      <c r="AG226" s="3">
        <f t="shared" si="31"/>
        <v>1.677473161537147</v>
      </c>
    </row>
    <row r="227" spans="3:37" s="9" customFormat="1" hidden="1" x14ac:dyDescent="0.3">
      <c r="C227" s="12"/>
      <c r="G227" s="11"/>
      <c r="J227" s="3">
        <f>Q95</f>
        <v>13.186310336133111</v>
      </c>
      <c r="K227" s="3">
        <f>N93</f>
        <v>8.8453840912962018</v>
      </c>
      <c r="L227" s="3">
        <f>Q96</f>
        <v>14.90756105108918</v>
      </c>
      <c r="M227" s="33"/>
      <c r="N227" s="3">
        <f>Q203</f>
        <v>13.186310336133117</v>
      </c>
      <c r="O227" s="3">
        <f>O201</f>
        <v>25.154615908703796</v>
      </c>
      <c r="P227" s="3">
        <f>Q204</f>
        <v>5.2421036298035846</v>
      </c>
      <c r="Q227" s="11"/>
      <c r="R227" s="35"/>
      <c r="AC227" s="12">
        <v>4</v>
      </c>
      <c r="AD227" s="12">
        <v>1.143</v>
      </c>
      <c r="AE227" s="12">
        <v>0.39300000000000002</v>
      </c>
      <c r="AF227" s="3">
        <f t="shared" si="31"/>
        <v>4.7933795590923971</v>
      </c>
      <c r="AG227" s="3">
        <f t="shared" si="31"/>
        <v>1.6481173812102468</v>
      </c>
    </row>
    <row r="228" spans="3:37" s="9" customFormat="1" hidden="1" x14ac:dyDescent="0.3">
      <c r="C228" s="12"/>
      <c r="J228" s="9" t="s">
        <v>203</v>
      </c>
      <c r="L228" s="9" t="s">
        <v>204</v>
      </c>
      <c r="M228" s="12"/>
      <c r="N228" s="3"/>
      <c r="O228" s="3"/>
      <c r="P228" s="34"/>
      <c r="R228" s="35"/>
      <c r="T228" s="45"/>
      <c r="AC228" s="12">
        <v>5</v>
      </c>
      <c r="AD228" s="12">
        <v>1.1319999999999999</v>
      </c>
      <c r="AE228" s="12">
        <v>0.39500000000000002</v>
      </c>
      <c r="AF228" s="3">
        <f t="shared" si="31"/>
        <v>4.7472490471501247</v>
      </c>
      <c r="AG228" s="3">
        <f t="shared" si="31"/>
        <v>1.6565047470179326</v>
      </c>
    </row>
    <row r="229" spans="3:37" s="9" customFormat="1" hidden="1" x14ac:dyDescent="0.3">
      <c r="C229" s="12"/>
      <c r="K229" s="12"/>
      <c r="P229" s="41"/>
      <c r="Q229" s="11"/>
      <c r="R229" s="35"/>
      <c r="AF229" s="3">
        <f>IF(C9=1,AF224,IF(C9=2,AF225,IF(C9=3,AF226,IF(C9=4,AF227,IF(C9=5,AF228)))))</f>
        <v>4.6130511942271539</v>
      </c>
      <c r="AG229" s="3">
        <f>IF(C9=1,AG224,IF(C9=2,AG225,IF(C9=3,AG226,IF(C9=4,AG227,IF(C9=5,AG228)))))</f>
        <v>1.677473161537147</v>
      </c>
    </row>
    <row r="230" spans="3:37" s="9" customFormat="1" hidden="1" x14ac:dyDescent="0.3">
      <c r="C230" s="12"/>
      <c r="H230" s="3"/>
      <c r="J230" s="9" t="s">
        <v>205</v>
      </c>
      <c r="K230" s="26"/>
      <c r="L230" s="33"/>
      <c r="M230" s="33"/>
      <c r="N230" s="3"/>
      <c r="O230" s="34"/>
      <c r="P230" s="41"/>
      <c r="Q230" s="11"/>
      <c r="R230" s="35"/>
      <c r="AE230" s="11" t="s">
        <v>288</v>
      </c>
      <c r="AF230" s="3">
        <f>AF229*L55/2000</f>
        <v>0.4613051194227154</v>
      </c>
      <c r="AG230" s="3">
        <f>AG229*L55/2000</f>
        <v>0.16774731615371472</v>
      </c>
    </row>
    <row r="231" spans="3:37" s="9" customFormat="1" hidden="1" x14ac:dyDescent="0.3">
      <c r="C231" s="12"/>
      <c r="K231" s="3"/>
      <c r="L231" s="3"/>
      <c r="M231" s="3"/>
      <c r="N231" s="3"/>
      <c r="O231" s="3"/>
      <c r="P231" s="3"/>
      <c r="Q231" s="3"/>
      <c r="R231" s="3"/>
      <c r="AG231" s="23"/>
    </row>
    <row r="232" spans="3:37" s="9" customFormat="1" hidden="1" x14ac:dyDescent="0.3">
      <c r="C232" s="12"/>
      <c r="K232" s="3"/>
      <c r="L232" s="3"/>
      <c r="M232" s="3"/>
      <c r="N232" s="3"/>
      <c r="O232" s="3"/>
      <c r="P232" s="3"/>
      <c r="Q232" s="3"/>
      <c r="R232" s="3"/>
      <c r="AC232" s="9" t="s">
        <v>289</v>
      </c>
      <c r="AJ232" s="41"/>
    </row>
    <row r="233" spans="3:37" s="9" customFormat="1" ht="16.2" hidden="1" x14ac:dyDescent="0.3">
      <c r="C233" s="12"/>
      <c r="K233" s="3"/>
      <c r="L233" s="3"/>
      <c r="M233" s="3"/>
      <c r="N233" s="3"/>
      <c r="O233" s="3"/>
      <c r="P233" s="3"/>
      <c r="Q233" s="3"/>
      <c r="R233" s="3"/>
      <c r="AC233" s="9" t="s">
        <v>415</v>
      </c>
    </row>
    <row r="234" spans="3:37" s="9" customFormat="1" ht="16.2" hidden="1" x14ac:dyDescent="0.3">
      <c r="C234" s="12"/>
      <c r="K234" s="3"/>
      <c r="L234" s="3"/>
      <c r="M234" s="3"/>
      <c r="N234" s="3"/>
      <c r="O234" s="3"/>
      <c r="P234" s="3"/>
      <c r="Q234" s="3"/>
      <c r="R234" s="3"/>
      <c r="Y234" s="46"/>
      <c r="AC234" s="9" t="s">
        <v>416</v>
      </c>
    </row>
    <row r="235" spans="3:37" s="9" customFormat="1" hidden="1" x14ac:dyDescent="0.3">
      <c r="C235" s="12"/>
      <c r="K235" s="3"/>
      <c r="L235" s="3"/>
      <c r="M235" s="3"/>
      <c r="N235" s="3"/>
      <c r="O235" s="3"/>
      <c r="P235" s="3"/>
      <c r="Q235" s="3"/>
      <c r="R235" s="3"/>
    </row>
    <row r="236" spans="3:37" s="9" customFormat="1" hidden="1" x14ac:dyDescent="0.3">
      <c r="C236" s="12"/>
      <c r="AC236" s="9" t="s">
        <v>290</v>
      </c>
      <c r="AG236" s="26" t="s">
        <v>417</v>
      </c>
      <c r="AH236" s="9">
        <v>7.4999999999999997E-2</v>
      </c>
    </row>
    <row r="237" spans="3:37" s="9" customFormat="1" hidden="1" x14ac:dyDescent="0.3">
      <c r="C237" s="12"/>
      <c r="AC237" s="9" t="s">
        <v>418</v>
      </c>
      <c r="AE237" s="9">
        <f>(AG230*AL210/(AH236*C6*C6*SQRT(C5/1000*O60/1000)*(1-0.1*SQRT(O57/C6))*(2.4+(L64/90)^2)))-0.5</f>
        <v>-0.29217170572172957</v>
      </c>
      <c r="AI237" s="11" t="s">
        <v>291</v>
      </c>
      <c r="AJ237" s="23">
        <f>AE237*AE237*56/0.02</f>
        <v>239.02005574816582</v>
      </c>
      <c r="AK237" s="9" t="s">
        <v>0</v>
      </c>
    </row>
    <row r="238" spans="3:37" s="9" customFormat="1" hidden="1" x14ac:dyDescent="0.3">
      <c r="C238" s="12"/>
      <c r="L238" s="29"/>
      <c r="M238" s="29"/>
      <c r="N238" s="64"/>
      <c r="O238" s="29"/>
      <c r="P238" s="29"/>
      <c r="Q238" s="64"/>
      <c r="AC238" s="65" t="s">
        <v>292</v>
      </c>
      <c r="AG238" s="26" t="s">
        <v>417</v>
      </c>
      <c r="AH238" s="9">
        <v>0.15</v>
      </c>
      <c r="AI238" s="11"/>
      <c r="AJ238" s="23"/>
    </row>
    <row r="239" spans="3:37" s="9" customFormat="1" hidden="1" x14ac:dyDescent="0.3">
      <c r="C239" s="12"/>
      <c r="K239" s="3"/>
      <c r="L239" s="3"/>
      <c r="M239" s="3"/>
      <c r="N239" s="3"/>
      <c r="O239" s="3"/>
      <c r="P239" s="3"/>
      <c r="Q239" s="3"/>
      <c r="AC239" s="9" t="s">
        <v>418</v>
      </c>
      <c r="AE239" s="9">
        <f>(AF230*AL210/(AH238*O56*O56*SQRT(C5/1000*O60/1000)*(1-0.1*SQRT(O57/O56))*(2.4+(L64/90)^2)))-0.5</f>
        <v>-0.2142360953673782</v>
      </c>
      <c r="AI239" s="11" t="s">
        <v>291</v>
      </c>
      <c r="AJ239" s="23">
        <f>AE239*AE239*O56/0.02</f>
        <v>1.7211414209347637</v>
      </c>
      <c r="AK239" s="9" t="s">
        <v>0</v>
      </c>
    </row>
    <row r="240" spans="3:37" s="9" customFormat="1" hidden="1" x14ac:dyDescent="0.3">
      <c r="C240" s="12"/>
      <c r="K240" s="3"/>
      <c r="L240" s="3"/>
      <c r="M240" s="3"/>
      <c r="N240" s="3"/>
      <c r="O240" s="3"/>
      <c r="P240" s="3"/>
      <c r="Q240" s="3"/>
    </row>
    <row r="241" spans="3:37" s="9" customFormat="1" hidden="1" x14ac:dyDescent="0.3">
      <c r="C241" s="12"/>
      <c r="K241" s="3"/>
      <c r="L241" s="3"/>
      <c r="M241" s="3"/>
      <c r="N241" s="3"/>
      <c r="O241" s="3"/>
      <c r="P241" s="3"/>
      <c r="Q241" s="3"/>
    </row>
    <row r="242" spans="3:37" s="9" customFormat="1" hidden="1" x14ac:dyDescent="0.3">
      <c r="C242" s="12"/>
      <c r="K242" s="3"/>
      <c r="L242" s="3"/>
      <c r="M242" s="3"/>
      <c r="N242" s="3"/>
      <c r="O242" s="3"/>
      <c r="P242" s="3"/>
      <c r="Q242" s="3"/>
    </row>
    <row r="243" spans="3:37" s="9" customFormat="1" hidden="1" x14ac:dyDescent="0.3">
      <c r="C243" s="12"/>
      <c r="K243" s="3"/>
      <c r="L243" s="3"/>
      <c r="M243" s="3"/>
      <c r="N243" s="3"/>
      <c r="O243" s="3"/>
      <c r="P243" s="3"/>
      <c r="Q243" s="3"/>
    </row>
    <row r="244" spans="3:37" s="9" customFormat="1" hidden="1" x14ac:dyDescent="0.3">
      <c r="C244" s="12"/>
      <c r="X244" s="3"/>
      <c r="Y244" s="3"/>
      <c r="Z244" s="12"/>
      <c r="AA244" s="3"/>
      <c r="AB244" s="12"/>
      <c r="AC244" s="12"/>
      <c r="AD244" s="3"/>
      <c r="AE244" s="12"/>
      <c r="AF244" s="12"/>
      <c r="AG244" s="12"/>
      <c r="AH244" s="3"/>
      <c r="AI244" s="12"/>
      <c r="AJ244" s="3"/>
      <c r="AK244" s="12"/>
    </row>
    <row r="245" spans="3:37" s="9" customFormat="1" hidden="1" x14ac:dyDescent="0.3">
      <c r="C245" s="12"/>
      <c r="X245" s="3"/>
      <c r="Y245" s="12"/>
      <c r="Z245" s="12"/>
      <c r="AA245" s="3"/>
      <c r="AB245" s="12"/>
      <c r="AC245" s="12"/>
      <c r="AD245" s="3"/>
      <c r="AE245" s="12"/>
      <c r="AF245" s="12"/>
      <c r="AG245" s="12"/>
      <c r="AH245" s="3"/>
      <c r="AI245" s="12"/>
      <c r="AJ245" s="3"/>
      <c r="AK245" s="12"/>
    </row>
    <row r="246" spans="3:37" s="9" customFormat="1" hidden="1" x14ac:dyDescent="0.3">
      <c r="C246" s="12"/>
      <c r="N246" s="11"/>
      <c r="X246" s="3"/>
      <c r="Y246" s="12"/>
      <c r="Z246" s="3"/>
      <c r="AA246" s="3"/>
      <c r="AB246" s="12"/>
      <c r="AC246" s="12"/>
      <c r="AD246" s="3"/>
      <c r="AE246" s="12"/>
      <c r="AF246" s="12"/>
      <c r="AG246" s="12"/>
      <c r="AH246" s="3"/>
      <c r="AI246" s="12"/>
      <c r="AJ246" s="3"/>
      <c r="AK246" s="12"/>
    </row>
    <row r="247" spans="3:37" s="9" customFormat="1" hidden="1" x14ac:dyDescent="0.3">
      <c r="C247" s="12"/>
      <c r="N247" s="11"/>
      <c r="O247" s="66"/>
      <c r="X247" s="3"/>
      <c r="Y247" s="12"/>
      <c r="Z247" s="12"/>
      <c r="AA247" s="3"/>
      <c r="AB247" s="12"/>
      <c r="AC247" s="12"/>
      <c r="AD247" s="3"/>
      <c r="AE247" s="12"/>
      <c r="AF247" s="12"/>
      <c r="AG247" s="12"/>
      <c r="AH247" s="3"/>
      <c r="AI247" s="12"/>
      <c r="AJ247" s="3"/>
      <c r="AK247" s="12"/>
    </row>
    <row r="248" spans="3:37" s="9" customFormat="1" hidden="1" x14ac:dyDescent="0.3">
      <c r="C248" s="12"/>
      <c r="K248" s="50"/>
      <c r="N248" s="11"/>
      <c r="O248" s="66"/>
      <c r="X248" s="3"/>
      <c r="Y248" s="12"/>
      <c r="Z248" s="12"/>
      <c r="AA248" s="3"/>
      <c r="AB248" s="12"/>
      <c r="AC248" s="12"/>
      <c r="AD248" s="3"/>
      <c r="AE248" s="12"/>
      <c r="AF248" s="12"/>
      <c r="AG248" s="12"/>
      <c r="AH248" s="3"/>
      <c r="AI248" s="12"/>
      <c r="AJ248" s="3"/>
      <c r="AK248" s="12"/>
    </row>
    <row r="249" spans="3:37" s="9" customFormat="1" hidden="1" x14ac:dyDescent="0.3">
      <c r="C249" s="12"/>
      <c r="AC249" s="12"/>
      <c r="AD249" s="12"/>
    </row>
    <row r="250" spans="3:37" s="9" customFormat="1" hidden="1" x14ac:dyDescent="0.3">
      <c r="C250" s="12"/>
      <c r="K250" s="57"/>
    </row>
    <row r="251" spans="3:37" s="9" customFormat="1" hidden="1" x14ac:dyDescent="0.3">
      <c r="C251" s="12"/>
      <c r="K251" s="57"/>
    </row>
    <row r="252" spans="3:37" s="9" customFormat="1" hidden="1" x14ac:dyDescent="0.3">
      <c r="C252" s="12"/>
    </row>
    <row r="253" spans="3:37" s="9" customFormat="1" hidden="1" x14ac:dyDescent="0.3">
      <c r="C253" s="12"/>
      <c r="M253" s="64"/>
      <c r="N253" s="44"/>
      <c r="Q253" s="64"/>
    </row>
    <row r="254" spans="3:37" s="9" customFormat="1" hidden="1" x14ac:dyDescent="0.3">
      <c r="C254" s="12"/>
      <c r="K254" s="3"/>
      <c r="L254" s="3"/>
      <c r="M254" s="3"/>
      <c r="O254" s="3"/>
      <c r="P254" s="3"/>
      <c r="Q254" s="3"/>
    </row>
    <row r="255" spans="3:37" s="9" customFormat="1" hidden="1" x14ac:dyDescent="0.3">
      <c r="C255" s="12"/>
      <c r="K255" s="3"/>
      <c r="L255" s="3"/>
      <c r="M255" s="3"/>
      <c r="O255" s="3"/>
      <c r="P255" s="3"/>
      <c r="Q255" s="3"/>
    </row>
    <row r="256" spans="3:37" s="9" customFormat="1" hidden="1" x14ac:dyDescent="0.3">
      <c r="C256" s="12"/>
      <c r="K256" s="3"/>
      <c r="L256" s="3"/>
      <c r="M256" s="3"/>
      <c r="O256" s="3"/>
      <c r="P256" s="3"/>
      <c r="Q256" s="3"/>
    </row>
    <row r="257" spans="3:44" s="9" customFormat="1" hidden="1" x14ac:dyDescent="0.3">
      <c r="C257" s="12"/>
      <c r="K257" s="3"/>
      <c r="L257" s="3"/>
      <c r="M257" s="3"/>
      <c r="O257" s="3"/>
      <c r="P257" s="3"/>
      <c r="Q257" s="3"/>
      <c r="U257" s="12"/>
      <c r="Y257" s="67"/>
    </row>
    <row r="258" spans="3:44" s="9" customFormat="1" hidden="1" x14ac:dyDescent="0.3">
      <c r="C258" s="12"/>
      <c r="K258" s="3"/>
      <c r="L258" s="3"/>
      <c r="M258" s="3"/>
      <c r="O258" s="3"/>
      <c r="P258" s="3"/>
      <c r="Q258" s="3"/>
    </row>
    <row r="259" spans="3:44" s="9" customFormat="1" hidden="1" x14ac:dyDescent="0.3">
      <c r="C259" s="12"/>
      <c r="T259" s="12"/>
      <c r="U259" s="12"/>
      <c r="V259" s="32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3:44" s="9" customFormat="1" hidden="1" x14ac:dyDescent="0.3">
      <c r="C260" s="12"/>
      <c r="K260" s="57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3:44" s="9" customFormat="1" hidden="1" x14ac:dyDescent="0.3">
      <c r="C261" s="12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3:44" s="9" customFormat="1" hidden="1" x14ac:dyDescent="0.3">
      <c r="C262" s="12"/>
      <c r="M262" s="64"/>
      <c r="N262" s="44"/>
      <c r="Q262" s="64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3:44" s="9" customFormat="1" hidden="1" x14ac:dyDescent="0.3">
      <c r="C263" s="12"/>
      <c r="K263" s="3"/>
      <c r="L263" s="3"/>
      <c r="M263" s="3"/>
      <c r="O263" s="3"/>
      <c r="P263" s="3"/>
      <c r="Q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3:44" s="9" customFormat="1" hidden="1" x14ac:dyDescent="0.3">
      <c r="C264" s="12"/>
      <c r="K264" s="3"/>
      <c r="L264" s="3"/>
      <c r="M264" s="3"/>
      <c r="O264" s="3"/>
      <c r="P264" s="3"/>
      <c r="Q264" s="3"/>
      <c r="AD264" s="12"/>
      <c r="AE264" s="12"/>
    </row>
    <row r="265" spans="3:44" s="9" customFormat="1" hidden="1" x14ac:dyDescent="0.3">
      <c r="C265" s="12"/>
      <c r="K265" s="3"/>
      <c r="L265" s="3"/>
      <c r="M265" s="3"/>
      <c r="O265" s="3"/>
      <c r="P265" s="3"/>
      <c r="Q265" s="3"/>
    </row>
    <row r="266" spans="3:44" s="9" customFormat="1" hidden="1" x14ac:dyDescent="0.3">
      <c r="C266" s="12"/>
      <c r="K266" s="3"/>
      <c r="L266" s="3"/>
      <c r="M266" s="3"/>
      <c r="O266" s="3"/>
      <c r="P266" s="3"/>
      <c r="Q266" s="3"/>
    </row>
    <row r="267" spans="3:44" s="9" customFormat="1" hidden="1" x14ac:dyDescent="0.3">
      <c r="C267" s="12"/>
      <c r="K267" s="3"/>
      <c r="L267" s="3"/>
      <c r="M267" s="3"/>
      <c r="O267" s="3"/>
      <c r="P267" s="3"/>
      <c r="Q267" s="3"/>
    </row>
    <row r="268" spans="3:44" s="9" customFormat="1" hidden="1" x14ac:dyDescent="0.3">
      <c r="C268" s="12"/>
      <c r="U268" s="12"/>
      <c r="Y268" s="67"/>
    </row>
    <row r="269" spans="3:44" s="9" customFormat="1" hidden="1" x14ac:dyDescent="0.3">
      <c r="C269" s="12"/>
      <c r="K269" s="57"/>
    </row>
    <row r="270" spans="3:44" s="9" customFormat="1" hidden="1" x14ac:dyDescent="0.3">
      <c r="C270" s="12"/>
      <c r="K270" s="57"/>
      <c r="N270" s="50"/>
      <c r="T270" s="12"/>
      <c r="U270" s="12"/>
      <c r="V270" s="32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3:44" s="9" customFormat="1" hidden="1" x14ac:dyDescent="0.3">
      <c r="C271" s="12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3:44" s="9" customFormat="1" hidden="1" x14ac:dyDescent="0.3">
      <c r="C272" s="12"/>
      <c r="K272" s="29"/>
      <c r="L272" s="29"/>
      <c r="M272" s="29"/>
      <c r="N272" s="64"/>
      <c r="O272" s="29"/>
      <c r="P272" s="29"/>
      <c r="Q272" s="64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3:44" s="9" customFormat="1" hidden="1" x14ac:dyDescent="0.3">
      <c r="C273" s="12"/>
      <c r="K273" s="3"/>
      <c r="L273" s="3"/>
      <c r="M273" s="3"/>
      <c r="N273" s="3"/>
      <c r="O273" s="3"/>
      <c r="P273" s="3"/>
      <c r="Q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3:44" s="9" customFormat="1" hidden="1" x14ac:dyDescent="0.3">
      <c r="C274" s="12"/>
      <c r="K274" s="3"/>
      <c r="L274" s="3"/>
      <c r="M274" s="3"/>
      <c r="N274" s="3"/>
      <c r="O274" s="3"/>
      <c r="P274" s="3"/>
      <c r="Q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3:44" s="9" customFormat="1" hidden="1" x14ac:dyDescent="0.3">
      <c r="C275" s="12"/>
      <c r="K275" s="3"/>
      <c r="L275" s="3"/>
      <c r="M275" s="3"/>
      <c r="N275" s="3"/>
      <c r="O275" s="3"/>
      <c r="P275" s="3"/>
      <c r="Q275" s="3"/>
    </row>
    <row r="276" spans="3:44" s="9" customFormat="1" hidden="1" x14ac:dyDescent="0.3">
      <c r="C276" s="12"/>
      <c r="K276" s="3"/>
      <c r="L276" s="3"/>
      <c r="M276" s="3"/>
      <c r="N276" s="3"/>
      <c r="O276" s="3"/>
      <c r="P276" s="3"/>
      <c r="Q276" s="3"/>
    </row>
    <row r="277" spans="3:44" s="9" customFormat="1" hidden="1" x14ac:dyDescent="0.3">
      <c r="C277" s="12"/>
      <c r="K277" s="3"/>
      <c r="L277" s="3"/>
      <c r="M277" s="3"/>
      <c r="N277" s="3"/>
      <c r="O277" s="3"/>
      <c r="P277" s="3"/>
      <c r="Q277" s="3"/>
    </row>
    <row r="278" spans="3:44" s="9" customFormat="1" hidden="1" x14ac:dyDescent="0.3">
      <c r="C278" s="12"/>
      <c r="U278" s="12"/>
      <c r="Y278" s="67"/>
    </row>
    <row r="279" spans="3:44" s="9" customFormat="1" hidden="1" x14ac:dyDescent="0.3">
      <c r="C279" s="12"/>
    </row>
    <row r="280" spans="3:44" s="9" customFormat="1" hidden="1" x14ac:dyDescent="0.3">
      <c r="C280" s="12"/>
      <c r="L280" s="29"/>
      <c r="M280" s="29"/>
      <c r="N280" s="64"/>
      <c r="O280" s="29"/>
      <c r="P280" s="29"/>
      <c r="Q280" s="64"/>
      <c r="T280" s="12"/>
      <c r="U280" s="12"/>
      <c r="V280" s="32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3:44" s="9" customFormat="1" hidden="1" x14ac:dyDescent="0.3">
      <c r="C281" s="12"/>
      <c r="K281" s="3"/>
      <c r="L281" s="3"/>
      <c r="M281" s="3"/>
      <c r="N281" s="3"/>
      <c r="O281" s="3"/>
      <c r="P281" s="3"/>
      <c r="Q281" s="3"/>
      <c r="S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3:44" s="9" customFormat="1" hidden="1" x14ac:dyDescent="0.3">
      <c r="C282" s="12"/>
      <c r="K282" s="3"/>
      <c r="L282" s="3"/>
      <c r="M282" s="3"/>
      <c r="N282" s="3"/>
      <c r="O282" s="3"/>
      <c r="P282" s="3"/>
      <c r="Q282" s="3"/>
      <c r="Y282" s="3"/>
      <c r="Z282" s="3"/>
      <c r="AA282" s="3"/>
      <c r="AB282" s="3"/>
      <c r="AD282" s="3"/>
      <c r="AE282" s="3"/>
      <c r="AF282" s="3"/>
      <c r="AG282" s="3"/>
      <c r="AH282" s="3"/>
      <c r="AI282" s="3"/>
      <c r="AJ282" s="3"/>
    </row>
    <row r="283" spans="3:44" s="9" customFormat="1" hidden="1" x14ac:dyDescent="0.3">
      <c r="C283" s="12"/>
      <c r="K283" s="3"/>
      <c r="L283" s="3"/>
      <c r="M283" s="3"/>
      <c r="N283" s="3"/>
      <c r="O283" s="3"/>
      <c r="P283" s="3"/>
      <c r="Q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3:44" s="9" customFormat="1" hidden="1" x14ac:dyDescent="0.3">
      <c r="C284" s="12"/>
      <c r="K284" s="3"/>
      <c r="L284" s="3"/>
      <c r="M284" s="3"/>
      <c r="N284" s="3"/>
      <c r="O284" s="3"/>
      <c r="P284" s="3"/>
      <c r="Q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3:44" s="9" customFormat="1" hidden="1" x14ac:dyDescent="0.3">
      <c r="C285" s="12"/>
      <c r="K285" s="3"/>
      <c r="L285" s="3"/>
      <c r="M285" s="3"/>
      <c r="N285" s="3"/>
      <c r="O285" s="3"/>
      <c r="P285" s="3"/>
      <c r="Q285" s="3"/>
      <c r="W285" s="11"/>
      <c r="X285" s="66"/>
      <c r="AE285" s="11"/>
      <c r="AF285" s="68"/>
      <c r="AG285" s="50"/>
      <c r="AI285" s="11"/>
      <c r="AJ285" s="66"/>
    </row>
    <row r="286" spans="3:44" s="9" customFormat="1" hidden="1" x14ac:dyDescent="0.3">
      <c r="C286" s="12"/>
      <c r="W286" s="11"/>
      <c r="X286" s="66"/>
      <c r="AE286" s="11"/>
      <c r="AF286" s="68"/>
      <c r="AG286" s="50"/>
      <c r="AI286" s="11"/>
      <c r="AJ286" s="66"/>
    </row>
    <row r="287" spans="3:44" s="9" customFormat="1" hidden="1" x14ac:dyDescent="0.3">
      <c r="C287" s="12"/>
      <c r="W287" s="11"/>
      <c r="X287" s="66"/>
      <c r="AE287" s="11"/>
      <c r="AF287" s="68"/>
      <c r="AG287" s="50"/>
      <c r="AI287" s="11"/>
      <c r="AJ287" s="66"/>
    </row>
    <row r="288" spans="3:44" s="9" customFormat="1" hidden="1" x14ac:dyDescent="0.3">
      <c r="C288" s="12"/>
      <c r="N288" s="11"/>
      <c r="O288" s="66"/>
      <c r="W288" s="11"/>
      <c r="X288" s="66"/>
      <c r="AE288" s="11"/>
      <c r="AF288" s="68"/>
    </row>
    <row r="289" spans="3:35" s="9" customFormat="1" hidden="1" x14ac:dyDescent="0.3">
      <c r="C289" s="12"/>
      <c r="N289" s="11"/>
      <c r="O289" s="66"/>
      <c r="T289" s="50"/>
      <c r="W289" s="11"/>
      <c r="X289" s="66"/>
      <c r="AE289" s="11"/>
      <c r="AF289" s="68"/>
    </row>
    <row r="290" spans="3:35" s="9" customFormat="1" hidden="1" x14ac:dyDescent="0.3">
      <c r="C290" s="12"/>
      <c r="K290" s="50"/>
      <c r="N290" s="11"/>
      <c r="O290" s="66"/>
      <c r="T290" s="50"/>
      <c r="W290" s="11"/>
      <c r="X290" s="66"/>
    </row>
    <row r="291" spans="3:35" s="9" customFormat="1" hidden="1" x14ac:dyDescent="0.3">
      <c r="C291" s="12"/>
    </row>
    <row r="292" spans="3:35" s="9" customFormat="1" hidden="1" x14ac:dyDescent="0.3">
      <c r="C292" s="12"/>
      <c r="K292" s="57"/>
      <c r="T292" s="57"/>
      <c r="AC292" s="57"/>
    </row>
    <row r="293" spans="3:35" s="9" customFormat="1" hidden="1" x14ac:dyDescent="0.3">
      <c r="C293" s="12"/>
      <c r="K293" s="57"/>
      <c r="T293" s="57"/>
      <c r="AC293" s="57"/>
    </row>
    <row r="294" spans="3:35" s="9" customFormat="1" hidden="1" x14ac:dyDescent="0.3">
      <c r="C294" s="12"/>
    </row>
    <row r="295" spans="3:35" s="9" customFormat="1" hidden="1" x14ac:dyDescent="0.3">
      <c r="C295" s="12"/>
      <c r="M295" s="64"/>
      <c r="N295" s="44"/>
      <c r="Q295" s="64"/>
      <c r="V295" s="64"/>
      <c r="W295" s="44"/>
      <c r="Z295" s="64"/>
      <c r="AE295" s="64"/>
      <c r="AF295" s="44"/>
      <c r="AI295" s="64"/>
    </row>
    <row r="296" spans="3:35" s="9" customFormat="1" hidden="1" x14ac:dyDescent="0.3">
      <c r="C296" s="12"/>
      <c r="K296" s="3"/>
      <c r="L296" s="3"/>
      <c r="M296" s="3"/>
      <c r="O296" s="3"/>
      <c r="P296" s="3"/>
      <c r="Q296" s="3"/>
      <c r="T296" s="3"/>
      <c r="U296" s="3"/>
      <c r="V296" s="3"/>
      <c r="X296" s="3"/>
      <c r="Y296" s="3"/>
      <c r="Z296" s="3"/>
      <c r="AC296" s="3"/>
      <c r="AD296" s="3"/>
      <c r="AE296" s="3"/>
      <c r="AG296" s="3"/>
      <c r="AH296" s="3"/>
      <c r="AI296" s="3"/>
    </row>
    <row r="297" spans="3:35" s="9" customFormat="1" hidden="1" x14ac:dyDescent="0.3">
      <c r="C297" s="12"/>
      <c r="K297" s="3"/>
      <c r="L297" s="3"/>
      <c r="M297" s="3"/>
      <c r="O297" s="3"/>
      <c r="P297" s="3"/>
      <c r="Q297" s="3"/>
      <c r="T297" s="3"/>
      <c r="U297" s="3"/>
      <c r="V297" s="3"/>
      <c r="X297" s="3"/>
      <c r="Y297" s="3"/>
      <c r="Z297" s="3"/>
      <c r="AC297" s="3"/>
      <c r="AD297" s="3"/>
      <c r="AE297" s="3"/>
      <c r="AG297" s="3"/>
      <c r="AH297" s="3"/>
      <c r="AI297" s="3"/>
    </row>
    <row r="298" spans="3:35" s="9" customFormat="1" hidden="1" x14ac:dyDescent="0.3">
      <c r="C298" s="12"/>
      <c r="K298" s="3"/>
      <c r="L298" s="3"/>
      <c r="M298" s="3"/>
      <c r="O298" s="3"/>
      <c r="P298" s="3"/>
      <c r="Q298" s="3"/>
      <c r="T298" s="3"/>
      <c r="U298" s="3"/>
      <c r="V298" s="3"/>
      <c r="X298" s="3"/>
      <c r="Y298" s="3"/>
      <c r="Z298" s="3"/>
      <c r="AC298" s="3"/>
      <c r="AD298" s="3"/>
      <c r="AE298" s="3"/>
      <c r="AG298" s="3"/>
      <c r="AH298" s="3"/>
      <c r="AI298" s="3"/>
    </row>
    <row r="299" spans="3:35" hidden="1" x14ac:dyDescent="0.3">
      <c r="K299" s="3"/>
      <c r="L299" s="3"/>
      <c r="M299" s="3"/>
      <c r="O299" s="3"/>
      <c r="P299" s="3"/>
      <c r="Q299" s="3"/>
      <c r="T299" s="3"/>
      <c r="U299" s="3"/>
      <c r="V299" s="3"/>
      <c r="X299" s="3"/>
      <c r="Y299" s="3"/>
      <c r="Z299" s="3"/>
      <c r="AC299" s="3"/>
      <c r="AD299" s="3"/>
      <c r="AE299" s="3"/>
      <c r="AG299" s="3"/>
      <c r="AH299" s="3"/>
      <c r="AI299" s="3"/>
    </row>
    <row r="300" spans="3:35" hidden="1" x14ac:dyDescent="0.3">
      <c r="K300" s="3"/>
      <c r="L300" s="3"/>
      <c r="M300" s="3"/>
      <c r="O300" s="3"/>
      <c r="P300" s="3"/>
      <c r="Q300" s="3"/>
      <c r="T300" s="3"/>
      <c r="U300" s="3"/>
      <c r="V300" s="3"/>
      <c r="X300" s="3"/>
      <c r="Y300" s="3"/>
      <c r="Z300" s="3"/>
      <c r="AC300" s="3"/>
      <c r="AD300" s="3"/>
      <c r="AE300" s="3"/>
      <c r="AG300" s="3"/>
      <c r="AH300" s="3"/>
      <c r="AI300" s="3"/>
    </row>
    <row r="301" spans="3:35" hidden="1" x14ac:dyDescent="0.3"/>
    <row r="302" spans="3:35" hidden="1" x14ac:dyDescent="0.3">
      <c r="K302" s="57"/>
      <c r="T302" s="57"/>
      <c r="AC302" s="57"/>
    </row>
    <row r="303" spans="3:35" hidden="1" x14ac:dyDescent="0.3"/>
    <row r="304" spans="3:35" hidden="1" x14ac:dyDescent="0.3">
      <c r="M304" s="64"/>
      <c r="N304" s="44"/>
      <c r="Q304" s="64"/>
      <c r="V304" s="64"/>
      <c r="W304" s="44"/>
      <c r="Z304" s="64"/>
      <c r="AE304" s="64"/>
      <c r="AF304" s="44"/>
      <c r="AI304" s="64"/>
    </row>
    <row r="305" spans="11:35" hidden="1" x14ac:dyDescent="0.3">
      <c r="K305" s="3"/>
      <c r="L305" s="3"/>
      <c r="M305" s="3"/>
      <c r="O305" s="3"/>
      <c r="P305" s="3"/>
      <c r="Q305" s="3"/>
      <c r="T305" s="3"/>
      <c r="U305" s="3"/>
      <c r="V305" s="3"/>
      <c r="X305" s="3"/>
      <c r="Y305" s="3"/>
      <c r="Z305" s="3"/>
      <c r="AC305" s="3"/>
      <c r="AD305" s="3"/>
      <c r="AE305" s="3"/>
      <c r="AG305" s="3"/>
      <c r="AH305" s="3"/>
      <c r="AI305" s="3"/>
    </row>
    <row r="306" spans="11:35" hidden="1" x14ac:dyDescent="0.3">
      <c r="K306" s="3"/>
      <c r="L306" s="3"/>
      <c r="M306" s="3"/>
      <c r="O306" s="3"/>
      <c r="P306" s="3"/>
      <c r="Q306" s="3"/>
      <c r="T306" s="3"/>
      <c r="U306" s="3"/>
      <c r="V306" s="3"/>
      <c r="X306" s="3"/>
      <c r="Y306" s="3"/>
      <c r="Z306" s="3"/>
      <c r="AC306" s="3"/>
      <c r="AD306" s="3"/>
      <c r="AE306" s="3"/>
      <c r="AG306" s="3"/>
      <c r="AH306" s="3"/>
      <c r="AI306" s="3"/>
    </row>
    <row r="307" spans="11:35" hidden="1" x14ac:dyDescent="0.3">
      <c r="K307" s="3"/>
      <c r="L307" s="3"/>
      <c r="M307" s="3"/>
      <c r="O307" s="3"/>
      <c r="P307" s="3"/>
      <c r="Q307" s="3"/>
      <c r="T307" s="3"/>
      <c r="U307" s="3"/>
      <c r="V307" s="3"/>
      <c r="X307" s="3"/>
      <c r="Y307" s="3"/>
      <c r="Z307" s="3"/>
      <c r="AC307" s="3"/>
      <c r="AD307" s="3"/>
      <c r="AE307" s="3"/>
      <c r="AG307" s="3"/>
      <c r="AH307" s="3"/>
      <c r="AI307" s="3"/>
    </row>
    <row r="308" spans="11:35" hidden="1" x14ac:dyDescent="0.3">
      <c r="K308" s="3"/>
      <c r="L308" s="3"/>
      <c r="M308" s="3"/>
      <c r="O308" s="3"/>
      <c r="P308" s="3"/>
      <c r="Q308" s="3"/>
      <c r="T308" s="3"/>
      <c r="U308" s="3"/>
      <c r="V308" s="3"/>
      <c r="X308" s="3"/>
      <c r="Y308" s="3"/>
      <c r="Z308" s="3"/>
      <c r="AC308" s="3"/>
      <c r="AD308" s="3"/>
      <c r="AE308" s="3"/>
      <c r="AG308" s="3"/>
      <c r="AH308" s="3"/>
      <c r="AI308" s="3"/>
    </row>
    <row r="309" spans="11:35" hidden="1" x14ac:dyDescent="0.3">
      <c r="K309" s="3"/>
      <c r="L309" s="3"/>
      <c r="M309" s="3"/>
      <c r="O309" s="3"/>
      <c r="P309" s="3"/>
      <c r="Q309" s="3"/>
      <c r="T309" s="3"/>
      <c r="U309" s="3"/>
      <c r="V309" s="3"/>
      <c r="X309" s="3"/>
      <c r="Y309" s="3"/>
      <c r="Z309" s="3"/>
      <c r="AC309" s="3"/>
      <c r="AD309" s="3"/>
      <c r="AE309" s="3"/>
      <c r="AG309" s="3"/>
      <c r="AH309" s="3"/>
      <c r="AI309" s="3"/>
    </row>
    <row r="310" spans="11:35" hidden="1" x14ac:dyDescent="0.3"/>
    <row r="311" spans="11:35" hidden="1" x14ac:dyDescent="0.3">
      <c r="K311" s="57"/>
      <c r="T311" s="57"/>
      <c r="AC311" s="57"/>
    </row>
    <row r="312" spans="11:35" hidden="1" x14ac:dyDescent="0.3">
      <c r="K312" s="57"/>
      <c r="N312" s="50"/>
      <c r="T312" s="57"/>
      <c r="W312" s="50"/>
      <c r="AC312" s="57"/>
      <c r="AF312" s="50"/>
    </row>
    <row r="313" spans="11:35" hidden="1" x14ac:dyDescent="0.3"/>
    <row r="314" spans="11:35" hidden="1" x14ac:dyDescent="0.3">
      <c r="K314" s="29"/>
      <c r="L314" s="29"/>
      <c r="M314" s="29"/>
      <c r="N314" s="64"/>
      <c r="O314" s="29"/>
      <c r="P314" s="29"/>
      <c r="Q314" s="64"/>
      <c r="T314" s="29"/>
      <c r="U314" s="29"/>
      <c r="V314" s="29"/>
      <c r="W314" s="64"/>
      <c r="X314" s="29"/>
      <c r="Y314" s="29"/>
      <c r="Z314" s="64"/>
      <c r="AC314" s="29"/>
      <c r="AD314" s="29"/>
      <c r="AE314" s="29"/>
      <c r="AF314" s="64"/>
      <c r="AG314" s="29"/>
      <c r="AH314" s="29"/>
      <c r="AI314" s="64"/>
    </row>
    <row r="315" spans="11:35" hidden="1" x14ac:dyDescent="0.3">
      <c r="K315" s="3"/>
      <c r="L315" s="3"/>
      <c r="M315" s="3"/>
      <c r="N315" s="3"/>
      <c r="O315" s="3"/>
      <c r="P315" s="3"/>
      <c r="Q315" s="3"/>
      <c r="T315" s="3"/>
      <c r="U315" s="3"/>
      <c r="V315" s="3"/>
      <c r="W315" s="3"/>
      <c r="X315" s="3"/>
      <c r="Y315" s="3"/>
      <c r="Z315" s="3"/>
      <c r="AC315" s="3"/>
      <c r="AD315" s="3"/>
      <c r="AE315" s="3"/>
      <c r="AF315" s="3"/>
      <c r="AG315" s="3"/>
      <c r="AH315" s="3"/>
      <c r="AI315" s="3"/>
    </row>
    <row r="316" spans="11:35" hidden="1" x14ac:dyDescent="0.3">
      <c r="K316" s="3"/>
      <c r="L316" s="3"/>
      <c r="M316" s="3"/>
      <c r="N316" s="3"/>
      <c r="O316" s="3"/>
      <c r="P316" s="3"/>
      <c r="Q316" s="3"/>
      <c r="T316" s="3"/>
      <c r="U316" s="3"/>
      <c r="V316" s="3"/>
      <c r="W316" s="3"/>
      <c r="X316" s="3"/>
      <c r="Y316" s="3"/>
      <c r="Z316" s="3"/>
      <c r="AC316" s="3"/>
      <c r="AD316" s="3"/>
      <c r="AE316" s="3"/>
      <c r="AF316" s="3"/>
      <c r="AG316" s="3"/>
      <c r="AH316" s="3"/>
      <c r="AI316" s="3"/>
    </row>
    <row r="317" spans="11:35" hidden="1" x14ac:dyDescent="0.3">
      <c r="K317" s="3"/>
      <c r="L317" s="3"/>
      <c r="M317" s="3"/>
      <c r="N317" s="3"/>
      <c r="O317" s="3"/>
      <c r="P317" s="3"/>
      <c r="Q317" s="3"/>
      <c r="T317" s="3"/>
      <c r="U317" s="3"/>
      <c r="V317" s="3"/>
      <c r="W317" s="3"/>
      <c r="X317" s="3"/>
      <c r="Y317" s="3"/>
      <c r="Z317" s="3"/>
      <c r="AC317" s="3"/>
      <c r="AD317" s="3"/>
      <c r="AE317" s="3"/>
      <c r="AF317" s="3"/>
      <c r="AG317" s="3"/>
      <c r="AH317" s="3"/>
      <c r="AI317" s="3"/>
    </row>
    <row r="318" spans="11:35" hidden="1" x14ac:dyDescent="0.3">
      <c r="K318" s="3"/>
      <c r="L318" s="3"/>
      <c r="M318" s="3"/>
      <c r="N318" s="3"/>
      <c r="O318" s="3"/>
      <c r="P318" s="3"/>
      <c r="Q318" s="3"/>
      <c r="T318" s="3"/>
      <c r="U318" s="3"/>
      <c r="V318" s="3"/>
      <c r="W318" s="3"/>
      <c r="X318" s="3"/>
      <c r="Y318" s="3"/>
      <c r="Z318" s="3"/>
      <c r="AC318" s="3"/>
      <c r="AD318" s="3"/>
      <c r="AE318" s="3"/>
      <c r="AF318" s="3"/>
      <c r="AG318" s="3"/>
      <c r="AH318" s="3"/>
      <c r="AI318" s="3"/>
    </row>
    <row r="319" spans="11:35" hidden="1" x14ac:dyDescent="0.3">
      <c r="K319" s="3"/>
      <c r="L319" s="3"/>
      <c r="M319" s="3"/>
      <c r="N319" s="3"/>
      <c r="O319" s="3"/>
      <c r="P319" s="3"/>
      <c r="Q319" s="3"/>
      <c r="T319" s="3"/>
      <c r="U319" s="3"/>
      <c r="V319" s="3"/>
      <c r="W319" s="3"/>
      <c r="X319" s="3"/>
      <c r="Y319" s="3"/>
      <c r="Z319" s="3"/>
      <c r="AC319" s="3"/>
      <c r="AD319" s="3"/>
      <c r="AE319" s="3"/>
      <c r="AF319" s="3"/>
      <c r="AG319" s="3"/>
      <c r="AH319" s="3"/>
      <c r="AI319" s="3"/>
    </row>
    <row r="320" spans="11:35" hidden="1" x14ac:dyDescent="0.3"/>
    <row r="321" spans="11:35" hidden="1" x14ac:dyDescent="0.3"/>
    <row r="322" spans="11:35" hidden="1" x14ac:dyDescent="0.3">
      <c r="L322" s="29"/>
      <c r="M322" s="29"/>
      <c r="N322" s="64"/>
      <c r="O322" s="29"/>
      <c r="P322" s="29"/>
      <c r="Q322" s="64"/>
      <c r="U322" s="29"/>
      <c r="V322" s="29"/>
      <c r="W322" s="64"/>
      <c r="X322" s="29"/>
      <c r="Y322" s="29"/>
      <c r="Z322" s="64"/>
      <c r="AD322" s="29"/>
      <c r="AE322" s="29"/>
      <c r="AF322" s="64"/>
      <c r="AG322" s="29"/>
      <c r="AH322" s="29"/>
      <c r="AI322" s="64"/>
    </row>
    <row r="323" spans="11:35" hidden="1" x14ac:dyDescent="0.3">
      <c r="K323" s="3"/>
      <c r="L323" s="3"/>
      <c r="M323" s="3"/>
      <c r="N323" s="3"/>
      <c r="O323" s="3"/>
      <c r="P323" s="3"/>
      <c r="Q323" s="3"/>
      <c r="T323" s="3"/>
      <c r="U323" s="3"/>
      <c r="V323" s="3"/>
      <c r="W323" s="3"/>
      <c r="X323" s="3"/>
      <c r="Y323" s="3"/>
      <c r="Z323" s="3"/>
      <c r="AC323" s="3"/>
      <c r="AD323" s="3"/>
      <c r="AE323" s="3"/>
      <c r="AF323" s="3"/>
      <c r="AG323" s="3"/>
      <c r="AH323" s="3"/>
      <c r="AI323" s="3"/>
    </row>
    <row r="324" spans="11:35" hidden="1" x14ac:dyDescent="0.3">
      <c r="K324" s="3"/>
      <c r="L324" s="3"/>
      <c r="M324" s="3"/>
      <c r="N324" s="3"/>
      <c r="O324" s="3"/>
      <c r="P324" s="3"/>
      <c r="Q324" s="3"/>
      <c r="T324" s="3"/>
      <c r="U324" s="3"/>
      <c r="V324" s="3"/>
      <c r="W324" s="3"/>
      <c r="X324" s="3"/>
      <c r="Y324" s="3"/>
      <c r="Z324" s="3"/>
      <c r="AC324" s="3"/>
      <c r="AD324" s="3"/>
      <c r="AE324" s="3"/>
      <c r="AF324" s="3"/>
      <c r="AG324" s="3"/>
      <c r="AH324" s="3"/>
      <c r="AI324" s="3"/>
    </row>
    <row r="325" spans="11:35" hidden="1" x14ac:dyDescent="0.3">
      <c r="K325" s="3"/>
      <c r="L325" s="3"/>
      <c r="M325" s="3"/>
      <c r="N325" s="3"/>
      <c r="O325" s="3"/>
      <c r="P325" s="3"/>
      <c r="Q325" s="3"/>
      <c r="T325" s="3"/>
      <c r="U325" s="3"/>
      <c r="V325" s="3"/>
      <c r="W325" s="3"/>
      <c r="X325" s="3"/>
      <c r="Y325" s="3"/>
      <c r="Z325" s="3"/>
      <c r="AC325" s="3"/>
      <c r="AD325" s="3"/>
      <c r="AE325" s="3"/>
      <c r="AF325" s="3"/>
      <c r="AG325" s="3"/>
      <c r="AH325" s="3"/>
      <c r="AI325" s="3"/>
    </row>
    <row r="326" spans="11:35" hidden="1" x14ac:dyDescent="0.3">
      <c r="K326" s="3"/>
      <c r="L326" s="3"/>
      <c r="M326" s="3"/>
      <c r="N326" s="3"/>
      <c r="O326" s="3"/>
      <c r="P326" s="3"/>
      <c r="Q326" s="3"/>
      <c r="T326" s="3"/>
      <c r="U326" s="3"/>
      <c r="V326" s="3"/>
      <c r="W326" s="3"/>
      <c r="X326" s="3"/>
      <c r="Y326" s="3"/>
      <c r="Z326" s="3"/>
      <c r="AC326" s="3"/>
      <c r="AD326" s="3"/>
      <c r="AE326" s="3"/>
      <c r="AF326" s="3"/>
      <c r="AG326" s="3"/>
      <c r="AH326" s="3"/>
      <c r="AI326" s="3"/>
    </row>
    <row r="327" spans="11:35" hidden="1" x14ac:dyDescent="0.3">
      <c r="K327" s="3"/>
      <c r="L327" s="3"/>
      <c r="M327" s="3"/>
      <c r="N327" s="3"/>
      <c r="O327" s="3"/>
      <c r="P327" s="3"/>
      <c r="Q327" s="3"/>
      <c r="T327" s="3"/>
      <c r="U327" s="3"/>
      <c r="V327" s="3"/>
      <c r="W327" s="3"/>
      <c r="X327" s="3"/>
      <c r="Y327" s="3"/>
      <c r="Z327" s="3"/>
      <c r="AC327" s="3"/>
      <c r="AD327" s="3"/>
      <c r="AE327" s="3"/>
      <c r="AF327" s="3"/>
      <c r="AG327" s="3"/>
      <c r="AH327" s="3"/>
      <c r="AI327" s="3"/>
    </row>
    <row r="328" spans="11:35" hidden="1" x14ac:dyDescent="0.3"/>
    <row r="329" spans="11:35" hidden="1" x14ac:dyDescent="0.3"/>
    <row r="330" spans="11:35" hidden="1" x14ac:dyDescent="0.3"/>
    <row r="331" spans="11:35" hidden="1" x14ac:dyDescent="0.3"/>
    <row r="332" spans="11:35" hidden="1" x14ac:dyDescent="0.3"/>
    <row r="333" spans="11:35" hidden="1" x14ac:dyDescent="0.3"/>
    <row r="334" spans="11:35" hidden="1" x14ac:dyDescent="0.3"/>
  </sheetData>
  <sheetProtection algorithmName="SHA-512" hashValue="at3mjpLTA+doLU8ORqC600/6xXyMA9/GCnUbJ9FQ+tvLeeatiy0tqOAai4tpLrkwHQQgtelbw7IQRH3zAf3XfA==" saltValue="g2Njgw2/2vFswgcNzFseGA==" spinCount="100000" sheet="1" objects="1" scenarios="1" selectLockedCells="1"/>
  <dataValidations count="6">
    <dataValidation type="list" allowBlank="1" showInputMessage="1" showErrorMessage="1" sqref="C6" xr:uid="{00000000-0002-0000-0000-000001000000}">
      <formula1>$P$21:$P$27</formula1>
    </dataValidation>
    <dataValidation type="list" allowBlank="1" showInputMessage="1" showErrorMessage="1" sqref="C5" xr:uid="{00000000-0002-0000-0000-000002000000}">
      <formula1>$P$11:$P$12</formula1>
    </dataValidation>
    <dataValidation type="list" allowBlank="1" showInputMessage="1" showErrorMessage="1" sqref="C9" xr:uid="{00000000-0002-0000-0000-000003000000}">
      <formula1>$J$25:$J$29</formula1>
    </dataValidation>
    <dataValidation type="list" allowBlank="1" showInputMessage="1" showErrorMessage="1" sqref="K2" xr:uid="{00000000-0002-0000-0000-000004000000}">
      <formula1>$K$4:$K$5</formula1>
    </dataValidation>
    <dataValidation type="list" allowBlank="1" showInputMessage="1" showErrorMessage="1" sqref="C12" xr:uid="{00000000-0002-0000-0000-000005000000}">
      <formula1>$B$85:$B$86</formula1>
    </dataValidation>
    <dataValidation type="list" allowBlank="1" showInputMessage="1" showErrorMessage="1" sqref="C11" xr:uid="{00000000-0002-0000-0000-000006000000}">
      <formula1>$E$77:$E$81</formula1>
    </dataValidation>
  </dataValidations>
  <pageMargins left="0.7" right="0.7" top="0.75" bottom="0.75" header="0.3" footer="0.3"/>
  <pageSetup scale="89" orientation="portrait" r:id="rId1"/>
  <rowBreaks count="2" manualBreakCount="2">
    <brk id="50" max="48" man="1"/>
    <brk id="281" max="48" man="1"/>
  </rowBreaks>
  <colBreaks count="2" manualBreakCount="2">
    <brk id="9" max="238" man="1"/>
    <brk id="18" max="238" man="1"/>
  </colBreaks>
  <drawing r:id="rId2"/>
  <legacyDrawing r:id="rId3"/>
  <oleObjects>
    <mc:AlternateContent xmlns:mc="http://schemas.openxmlformats.org/markup-compatibility/2006">
      <mc:Choice Requires="x14">
        <oleObject progId="AutoCAD.Drawing.19" shapeId="1090" r:id="rId4">
          <objectPr defaultSize="0" autoPict="0" r:id="rId5">
            <anchor moveWithCells="1">
              <from>
                <xdr:col>1</xdr:col>
                <xdr:colOff>2743200</xdr:colOff>
                <xdr:row>12</xdr:row>
                <xdr:rowOff>53340</xdr:rowOff>
              </from>
              <to>
                <xdr:col>2</xdr:col>
                <xdr:colOff>533400</xdr:colOff>
                <xdr:row>14</xdr:row>
                <xdr:rowOff>60960</xdr:rowOff>
              </to>
            </anchor>
          </objectPr>
        </oleObject>
      </mc:Choice>
      <mc:Fallback>
        <oleObject progId="AutoCAD.Drawing.19" shapeId="1090" r:id="rId4"/>
      </mc:Fallback>
    </mc:AlternateContent>
    <mc:AlternateContent xmlns:mc="http://schemas.openxmlformats.org/markup-compatibility/2006">
      <mc:Choice Requires="x14">
        <oleObject progId="AutoCAD.Drawing.19" shapeId="1091" r:id="rId6">
          <objectPr defaultSize="0" autoPict="0" r:id="rId7">
            <anchor moveWithCells="1">
              <from>
                <xdr:col>2</xdr:col>
                <xdr:colOff>594360</xdr:colOff>
                <xdr:row>12</xdr:row>
                <xdr:rowOff>53340</xdr:rowOff>
              </from>
              <to>
                <xdr:col>5</xdr:col>
                <xdr:colOff>678180</xdr:colOff>
                <xdr:row>14</xdr:row>
                <xdr:rowOff>160020</xdr:rowOff>
              </to>
            </anchor>
          </objectPr>
        </oleObject>
      </mc:Choice>
      <mc:Fallback>
        <oleObject progId="AutoCAD.Drawing.19" shapeId="109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TR35</vt:lpstr>
      <vt:lpstr>'TR35'!Oblast_štampanja</vt:lpstr>
    </vt:vector>
  </TitlesOfParts>
  <Company>GRADING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Dragoslav</dc:creator>
  <cp:lastModifiedBy>Marko</cp:lastModifiedBy>
  <dcterms:created xsi:type="dcterms:W3CDTF">2015-01-26T13:22:41Z</dcterms:created>
  <dcterms:modified xsi:type="dcterms:W3CDTF">2020-07-13T18:00:54Z</dcterms:modified>
</cp:coreProperties>
</file>